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15" tabRatio="632" activeTab="0"/>
  </bookViews>
  <sheets>
    <sheet name="封面" sheetId="1" r:id="rId1"/>
    <sheet name="全区" sheetId="2" r:id="rId2"/>
    <sheet name="本级" sheetId="3" r:id="rId3"/>
  </sheets>
  <definedNames/>
  <calcPr fullCalcOnLoad="1"/>
</workbook>
</file>

<file path=xl/sharedStrings.xml><?xml version="1.0" encoding="utf-8"?>
<sst xmlns="http://schemas.openxmlformats.org/spreadsheetml/2006/main" count="176" uniqueCount="86">
  <si>
    <t>宝山区2019年区本级财政预算调整方案（草案）</t>
  </si>
  <si>
    <t>第三次</t>
  </si>
  <si>
    <t>宝山区人民政府</t>
  </si>
  <si>
    <t>二○一九年十二月</t>
  </si>
  <si>
    <t>2019年 宝 山 区 一 般 公 共 预 算 调 整 表</t>
  </si>
  <si>
    <t>总表一</t>
  </si>
  <si>
    <t>单位：万元</t>
  </si>
  <si>
    <t>收入项目</t>
  </si>
  <si>
    <t>收  入  预  算</t>
  </si>
  <si>
    <t>支出功能分类</t>
  </si>
  <si>
    <t>支  出  预  算</t>
  </si>
  <si>
    <t>2014年决算</t>
  </si>
  <si>
    <t>年初预算</t>
  </si>
  <si>
    <t>比上年增减％</t>
  </si>
  <si>
    <t>1-11月执行</t>
  </si>
  <si>
    <r>
      <t>执行为预算</t>
    </r>
    <r>
      <rPr>
        <sz val="11"/>
        <rFont val="Times New Roman"/>
        <family val="1"/>
      </rPr>
      <t>%</t>
    </r>
  </si>
  <si>
    <t>已调整1、2</t>
  </si>
  <si>
    <t>预算调整3</t>
  </si>
  <si>
    <t>调整后预算</t>
  </si>
  <si>
    <t>比年初增减％</t>
  </si>
  <si>
    <t>乡镇年初</t>
  </si>
  <si>
    <t>乡镇调整</t>
  </si>
  <si>
    <t>差额</t>
  </si>
  <si>
    <t>一、一般公共预算收入</t>
  </si>
  <si>
    <t>一、一般公共预算支出</t>
  </si>
  <si>
    <t>（一）税收收入</t>
  </si>
  <si>
    <t>1、一般公共服务支出</t>
  </si>
  <si>
    <r>
      <t xml:space="preserve">       </t>
    </r>
    <r>
      <rPr>
        <sz val="11"/>
        <rFont val="宋体"/>
        <family val="0"/>
      </rPr>
      <t>增值税</t>
    </r>
  </si>
  <si>
    <t>2、国防支出</t>
  </si>
  <si>
    <r>
      <t xml:space="preserve">       </t>
    </r>
    <r>
      <rPr>
        <sz val="11"/>
        <rFont val="宋体"/>
        <family val="0"/>
      </rPr>
      <t>营业税</t>
    </r>
  </si>
  <si>
    <t>3、公共安全支出</t>
  </si>
  <si>
    <r>
      <t xml:space="preserve">       </t>
    </r>
    <r>
      <rPr>
        <sz val="11"/>
        <rFont val="宋体"/>
        <family val="0"/>
      </rPr>
      <t>企业所得税</t>
    </r>
  </si>
  <si>
    <t>4、教育支出</t>
  </si>
  <si>
    <r>
      <t xml:space="preserve">       </t>
    </r>
    <r>
      <rPr>
        <sz val="11"/>
        <rFont val="宋体"/>
        <family val="0"/>
      </rPr>
      <t>个人所得税</t>
    </r>
  </si>
  <si>
    <t>5、科学技术支出</t>
  </si>
  <si>
    <r>
      <t xml:space="preserve">       </t>
    </r>
    <r>
      <rPr>
        <sz val="11"/>
        <rFont val="宋体"/>
        <family val="0"/>
      </rPr>
      <t>城市维护建设税</t>
    </r>
  </si>
  <si>
    <t>6、文化旅游体育与传媒支出</t>
  </si>
  <si>
    <r>
      <t xml:space="preserve">       </t>
    </r>
    <r>
      <rPr>
        <sz val="11"/>
        <rFont val="宋体"/>
        <family val="0"/>
      </rPr>
      <t>房产税</t>
    </r>
  </si>
  <si>
    <t>7、社会保障和就业支出</t>
  </si>
  <si>
    <r>
      <t xml:space="preserve">       </t>
    </r>
    <r>
      <rPr>
        <sz val="11"/>
        <rFont val="宋体"/>
        <family val="0"/>
      </rPr>
      <t>印花税</t>
    </r>
  </si>
  <si>
    <t>8、卫生健康支出</t>
  </si>
  <si>
    <r>
      <t xml:space="preserve">       </t>
    </r>
    <r>
      <rPr>
        <sz val="11"/>
        <rFont val="宋体"/>
        <family val="0"/>
      </rPr>
      <t>城镇土地使用税</t>
    </r>
  </si>
  <si>
    <t>9、节能环保支出</t>
  </si>
  <si>
    <r>
      <t xml:space="preserve">       </t>
    </r>
    <r>
      <rPr>
        <sz val="11"/>
        <rFont val="宋体"/>
        <family val="0"/>
      </rPr>
      <t>土地增值税</t>
    </r>
  </si>
  <si>
    <t>10、城乡社区支出</t>
  </si>
  <si>
    <r>
      <t xml:space="preserve">       </t>
    </r>
    <r>
      <rPr>
        <sz val="11"/>
        <rFont val="宋体"/>
        <family val="0"/>
      </rPr>
      <t>车船税</t>
    </r>
  </si>
  <si>
    <t>11、农林水支出</t>
  </si>
  <si>
    <r>
      <t xml:space="preserve">       </t>
    </r>
    <r>
      <rPr>
        <sz val="11"/>
        <rFont val="宋体"/>
        <family val="0"/>
      </rPr>
      <t>耕地占用税</t>
    </r>
  </si>
  <si>
    <t>12、交通运输支出</t>
  </si>
  <si>
    <r>
      <t xml:space="preserve">       </t>
    </r>
    <r>
      <rPr>
        <sz val="11"/>
        <rFont val="宋体"/>
        <family val="0"/>
      </rPr>
      <t>契税</t>
    </r>
  </si>
  <si>
    <t>13、资源勘探信息等支出</t>
  </si>
  <si>
    <r>
      <t xml:space="preserve">       </t>
    </r>
    <r>
      <rPr>
        <sz val="11"/>
        <rFont val="宋体"/>
        <family val="0"/>
      </rPr>
      <t>环境保护税</t>
    </r>
  </si>
  <si>
    <t>14、商业服务业等支出</t>
  </si>
  <si>
    <r>
      <t xml:space="preserve">       </t>
    </r>
    <r>
      <rPr>
        <sz val="11"/>
        <rFont val="宋体"/>
        <family val="0"/>
      </rPr>
      <t>其他税收收入</t>
    </r>
  </si>
  <si>
    <t>15、自然资源海洋气象等支出</t>
  </si>
  <si>
    <t>（二）非税收入</t>
  </si>
  <si>
    <t>16、住房保障支出</t>
  </si>
  <si>
    <r>
      <t xml:space="preserve">       </t>
    </r>
    <r>
      <rPr>
        <sz val="11"/>
        <rFont val="宋体"/>
        <family val="0"/>
      </rPr>
      <t>专项收入</t>
    </r>
  </si>
  <si>
    <t>17、粮油物资储备支出</t>
  </si>
  <si>
    <r>
      <t xml:space="preserve">       </t>
    </r>
    <r>
      <rPr>
        <sz val="11"/>
        <rFont val="宋体"/>
        <family val="0"/>
      </rPr>
      <t>行政事业性收费收入</t>
    </r>
  </si>
  <si>
    <t>18、灾害防治及应急管理支出</t>
  </si>
  <si>
    <r>
      <t xml:space="preserve">       </t>
    </r>
    <r>
      <rPr>
        <sz val="11"/>
        <rFont val="宋体"/>
        <family val="0"/>
      </rPr>
      <t>国有资产有偿使用收入</t>
    </r>
  </si>
  <si>
    <t>19、预备费</t>
  </si>
  <si>
    <r>
      <t xml:space="preserve">       </t>
    </r>
    <r>
      <rPr>
        <sz val="11"/>
        <rFont val="宋体"/>
        <family val="0"/>
      </rPr>
      <t>其他收入</t>
    </r>
  </si>
  <si>
    <t>20、其他支出</t>
  </si>
  <si>
    <t>21、债务付息支出</t>
  </si>
  <si>
    <t>二、市对区税收返还及专项补助收入</t>
  </si>
  <si>
    <t>三、上年结转收入</t>
  </si>
  <si>
    <t>二、地方政府一般债务还本支出</t>
  </si>
  <si>
    <t>四、地方政府一般债券转贷收入</t>
  </si>
  <si>
    <t>三、结转下年支出</t>
  </si>
  <si>
    <t>五、调入资金</t>
  </si>
  <si>
    <t>四、增设预算周转金</t>
  </si>
  <si>
    <t>六、动用预算稳定调节基金</t>
  </si>
  <si>
    <t>五、补充预算稳定调节基金</t>
  </si>
  <si>
    <t>七、动用历年结余</t>
  </si>
  <si>
    <t>六、当年结余</t>
  </si>
  <si>
    <t>总计</t>
  </si>
  <si>
    <t>2019 年 宝 山 区 本 级 一 般 公 共 预 算 调 整 表</t>
  </si>
  <si>
    <t>本级表一</t>
  </si>
  <si>
    <t>三、区对镇税收返还和转移支付支出</t>
  </si>
  <si>
    <t>四、上年结转收入</t>
  </si>
  <si>
    <t>五、地方政府一般债券转贷收入</t>
  </si>
  <si>
    <t>六、调入资金</t>
  </si>
  <si>
    <t>七、动用预算稳定调节基金</t>
  </si>
  <si>
    <t>八、动用结余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</si>
</sst>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10"/>
      <color indexed="10"/>
      <name val="宋体"/>
      <family val="0"/>
    </font>
    <font>
      <sz val="10"/>
      <name val="Arial"/>
      <family val="2"/>
    </font>
    <font>
      <b/>
      <sz val="26"/>
      <name val="宋体"/>
      <family val="0"/>
    </font>
    <font>
      <b/>
      <sz val="28"/>
      <name val="黑体"/>
      <family val="3"/>
    </font>
    <font>
      <sz val="20"/>
      <name val="宋体"/>
      <family val="0"/>
    </font>
    <font>
      <b/>
      <sz val="26"/>
      <name val="Arial"/>
      <family val="2"/>
    </font>
    <font>
      <b/>
      <sz val="20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6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6" fillId="9" borderId="0" applyNumberFormat="0" applyBorder="0" applyAlignment="0" applyProtection="0"/>
    <xf numFmtId="0" fontId="38" fillId="0" borderId="4" applyNumberFormat="0" applyFill="0" applyAlignment="0" applyProtection="0"/>
    <xf numFmtId="0" fontId="36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5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64" applyFont="1" applyBorder="1" applyAlignment="1">
      <alignment horizontal="center" vertical="center" wrapText="1"/>
      <protection/>
    </xf>
    <xf numFmtId="0" fontId="3" fillId="0" borderId="9" xfId="64" applyFont="1" applyBorder="1" applyAlignment="1">
      <alignment horizontal="center" vertical="center"/>
      <protection/>
    </xf>
    <xf numFmtId="0" fontId="3" fillId="0" borderId="9" xfId="64" applyFont="1" applyBorder="1">
      <alignment/>
      <protection/>
    </xf>
    <xf numFmtId="176" fontId="1" fillId="0" borderId="9" xfId="0" applyNumberFormat="1" applyFont="1" applyBorder="1" applyAlignment="1">
      <alignment vertical="center"/>
    </xf>
    <xf numFmtId="176" fontId="1" fillId="0" borderId="9" xfId="0" applyNumberFormat="1" applyFont="1" applyFill="1" applyBorder="1" applyAlignment="1">
      <alignment vertical="center"/>
    </xf>
    <xf numFmtId="0" fontId="1" fillId="0" borderId="9" xfId="64" applyFont="1" applyBorder="1">
      <alignment/>
      <protection/>
    </xf>
    <xf numFmtId="0" fontId="4" fillId="0" borderId="9" xfId="64" applyFont="1" applyBorder="1">
      <alignment/>
      <protection/>
    </xf>
    <xf numFmtId="0" fontId="1" fillId="0" borderId="9" xfId="0" applyFont="1" applyBorder="1" applyAlignment="1">
      <alignment vertical="center"/>
    </xf>
    <xf numFmtId="0" fontId="3" fillId="0" borderId="9" xfId="64" applyFont="1" applyFill="1" applyBorder="1">
      <alignment/>
      <protection/>
    </xf>
    <xf numFmtId="176" fontId="0" fillId="0" borderId="0" xfId="0" applyNumberFormat="1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1" fillId="0" borderId="9" xfId="64" applyFont="1" applyFill="1" applyBorder="1">
      <alignment/>
      <protection/>
    </xf>
    <xf numFmtId="0" fontId="1" fillId="0" borderId="0" xfId="64" applyFont="1" applyAlignment="1">
      <alignment horizontal="centerContinuous" vertical="center"/>
      <protection/>
    </xf>
    <xf numFmtId="176" fontId="1" fillId="0" borderId="9" xfId="64" applyNumberFormat="1" applyFont="1" applyBorder="1">
      <alignment/>
      <protection/>
    </xf>
    <xf numFmtId="176" fontId="1" fillId="0" borderId="9" xfId="64" applyNumberFormat="1" applyFont="1" applyFill="1" applyBorder="1">
      <alignment/>
      <protection/>
    </xf>
    <xf numFmtId="176" fontId="1" fillId="0" borderId="0" xfId="0" applyNumberFormat="1" applyFont="1" applyBorder="1" applyAlignment="1">
      <alignment vertical="center"/>
    </xf>
    <xf numFmtId="176" fontId="5" fillId="0" borderId="0" xfId="64" applyNumberFormat="1" applyFont="1" applyBorder="1">
      <alignment/>
      <protection/>
    </xf>
    <xf numFmtId="176" fontId="1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Alignment="1">
      <alignment/>
    </xf>
    <xf numFmtId="0" fontId="7" fillId="0" borderId="0" xfId="0" applyAlignment="1">
      <alignment horizontal="centerContinuous" vertical="center" wrapText="1"/>
    </xf>
    <xf numFmtId="0" fontId="8" fillId="0" borderId="0" xfId="0" applyFont="1" applyAlignment="1">
      <alignment horizontal="centerContinuous" vertical="center" wrapText="1"/>
    </xf>
    <xf numFmtId="0" fontId="9" fillId="0" borderId="0" xfId="0" applyFont="1" applyAlignment="1">
      <alignment horizontal="centerContinuous" vertical="center" wrapText="1"/>
    </xf>
    <xf numFmtId="0" fontId="10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Continuous" vertical="center" wrapText="1"/>
    </xf>
    <xf numFmtId="0" fontId="12" fillId="0" borderId="0" xfId="0" applyFont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workbookViewId="0" topLeftCell="A1">
      <selection activeCell="N23" sqref="N23"/>
    </sheetView>
  </sheetViews>
  <sheetFormatPr defaultColWidth="9.00390625" defaultRowHeight="14.25"/>
  <cols>
    <col min="1" max="16384" width="9.00390625" style="24" customWidth="1"/>
  </cols>
  <sheetData>
    <row r="1" spans="1:13" ht="14.25">
      <c r="A1" s="25"/>
      <c r="B1" s="25"/>
      <c r="M1" s="33"/>
    </row>
    <row r="2" spans="1:2" ht="12.75">
      <c r="A2" s="25"/>
      <c r="B2" s="25"/>
    </row>
    <row r="9" spans="2:12" ht="35.25">
      <c r="B9" s="26" t="s">
        <v>0</v>
      </c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3:12" ht="35.25">
      <c r="C10" s="27"/>
      <c r="D10" s="25"/>
      <c r="E10" s="28"/>
      <c r="F10" s="29"/>
      <c r="G10" s="30"/>
      <c r="H10" s="30"/>
      <c r="J10" s="25"/>
      <c r="K10" s="25"/>
      <c r="L10" s="25"/>
    </row>
    <row r="11" spans="6:8" ht="36" customHeight="1">
      <c r="F11" s="29" t="s">
        <v>1</v>
      </c>
      <c r="G11" s="30"/>
      <c r="H11" s="30"/>
    </row>
    <row r="12" ht="36" customHeight="1"/>
    <row r="13" spans="5:9" ht="25.5">
      <c r="E13" s="31" t="s">
        <v>2</v>
      </c>
      <c r="F13" s="31"/>
      <c r="G13" s="31"/>
      <c r="H13" s="31"/>
      <c r="I13" s="31"/>
    </row>
    <row r="17" spans="5:9" ht="26.25" customHeight="1">
      <c r="E17" s="32" t="s">
        <v>3</v>
      </c>
      <c r="F17" s="32"/>
      <c r="G17" s="32"/>
      <c r="H17" s="32"/>
      <c r="I17" s="32"/>
    </row>
    <row r="19" ht="25.5">
      <c r="I19" s="34"/>
    </row>
  </sheetData>
  <sheetProtection/>
  <mergeCells count="5">
    <mergeCell ref="B9:L9"/>
    <mergeCell ref="F10:H10"/>
    <mergeCell ref="F11:H11"/>
    <mergeCell ref="E13:I13"/>
    <mergeCell ref="E17:I17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Y89"/>
  <sheetViews>
    <sheetView workbookViewId="0" topLeftCell="A1">
      <selection activeCell="O30" sqref="O30"/>
    </sheetView>
  </sheetViews>
  <sheetFormatPr defaultColWidth="9.00390625" defaultRowHeight="14.25"/>
  <cols>
    <col min="1" max="1" width="33.50390625" style="0" customWidth="1"/>
    <col min="2" max="2" width="12.625" style="0" hidden="1" customWidth="1"/>
    <col min="3" max="3" width="13.875" style="0" customWidth="1"/>
    <col min="4" max="4" width="14.125" style="0" hidden="1" customWidth="1"/>
    <col min="5" max="5" width="13.875" style="0" customWidth="1"/>
    <col min="6" max="7" width="12.625" style="0" customWidth="1"/>
    <col min="8" max="8" width="10.125" style="0" customWidth="1"/>
    <col min="9" max="9" width="13.875" style="0" customWidth="1"/>
    <col min="10" max="10" width="13.875" style="0" hidden="1" customWidth="1"/>
    <col min="11" max="11" width="13.875" style="0" customWidth="1"/>
    <col min="12" max="12" width="29.00390625" style="0" customWidth="1"/>
    <col min="13" max="13" width="13.875" style="0" hidden="1" customWidth="1"/>
    <col min="14" max="14" width="13.875" style="0" customWidth="1"/>
    <col min="15" max="15" width="13.875" style="0" hidden="1" customWidth="1"/>
    <col min="16" max="16" width="13.875" style="0" customWidth="1"/>
    <col min="17" max="17" width="12.75390625" style="0" customWidth="1"/>
    <col min="18" max="18" width="11.625" style="0" customWidth="1"/>
    <col min="19" max="19" width="10.875" style="0" customWidth="1"/>
    <col min="20" max="20" width="13.875" style="0" customWidth="1"/>
    <col min="21" max="21" width="9.00390625" style="0" hidden="1" customWidth="1"/>
    <col min="23" max="23" width="12.125" style="0" hidden="1" customWidth="1"/>
    <col min="24" max="24" width="11.875" style="0" hidden="1" customWidth="1"/>
    <col min="25" max="25" width="11.75390625" style="0" hidden="1" customWidth="1"/>
  </cols>
  <sheetData>
    <row r="2" spans="1:22" s="1" customFormat="1" ht="20.25">
      <c r="A2" s="2" t="s">
        <v>4</v>
      </c>
      <c r="B2" s="2"/>
      <c r="C2" s="2"/>
      <c r="D2" s="2"/>
      <c r="E2" s="2"/>
      <c r="F2" s="2"/>
      <c r="G2" s="2"/>
      <c r="H2" s="2"/>
      <c r="I2" s="2"/>
      <c r="J2" s="2"/>
      <c r="K2" s="2"/>
      <c r="V2" s="15" t="s">
        <v>5</v>
      </c>
    </row>
    <row r="3" spans="11:22" s="1" customFormat="1" ht="13.5">
      <c r="K3" s="1" t="s">
        <v>6</v>
      </c>
      <c r="V3" s="1" t="s">
        <v>6</v>
      </c>
    </row>
    <row r="4" spans="1:22" s="1" customFormat="1" ht="13.5">
      <c r="A4" s="13" t="s">
        <v>7</v>
      </c>
      <c r="B4" s="4" t="s">
        <v>8</v>
      </c>
      <c r="C4" s="4"/>
      <c r="D4" s="4"/>
      <c r="E4" s="4"/>
      <c r="F4" s="4"/>
      <c r="G4" s="4"/>
      <c r="H4" s="4"/>
      <c r="I4" s="4"/>
      <c r="J4" s="4"/>
      <c r="K4" s="4"/>
      <c r="L4" s="13" t="s">
        <v>9</v>
      </c>
      <c r="M4" s="4" t="s">
        <v>10</v>
      </c>
      <c r="N4" s="4"/>
      <c r="O4" s="4"/>
      <c r="P4" s="4"/>
      <c r="Q4" s="4"/>
      <c r="R4" s="4"/>
      <c r="S4" s="4"/>
      <c r="T4" s="4"/>
      <c r="U4" s="4"/>
      <c r="V4" s="4"/>
    </row>
    <row r="5" spans="1:22" s="1" customFormat="1" ht="14.25" customHeight="1">
      <c r="A5" s="13"/>
      <c r="B5" s="3" t="s">
        <v>11</v>
      </c>
      <c r="C5" s="3" t="s">
        <v>12</v>
      </c>
      <c r="D5" s="3" t="s">
        <v>13</v>
      </c>
      <c r="E5" s="3" t="s">
        <v>14</v>
      </c>
      <c r="F5" s="3" t="s">
        <v>15</v>
      </c>
      <c r="G5" s="3" t="s">
        <v>16</v>
      </c>
      <c r="H5" s="3" t="s">
        <v>17</v>
      </c>
      <c r="I5" s="3" t="s">
        <v>18</v>
      </c>
      <c r="J5" s="3" t="s">
        <v>13</v>
      </c>
      <c r="K5" s="3" t="s">
        <v>19</v>
      </c>
      <c r="L5" s="13"/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3" t="s">
        <v>16</v>
      </c>
      <c r="S5" s="3" t="s">
        <v>17</v>
      </c>
      <c r="T5" s="3" t="s">
        <v>18</v>
      </c>
      <c r="U5" s="3" t="s">
        <v>13</v>
      </c>
      <c r="V5" s="3" t="s">
        <v>19</v>
      </c>
    </row>
    <row r="6" spans="1:25" s="1" customFormat="1" ht="13.5">
      <c r="A6" s="13"/>
      <c r="B6" s="3"/>
      <c r="C6" s="3"/>
      <c r="D6" s="3"/>
      <c r="E6" s="3"/>
      <c r="F6" s="3"/>
      <c r="G6" s="3"/>
      <c r="H6" s="3"/>
      <c r="I6" s="3"/>
      <c r="J6" s="3"/>
      <c r="K6" s="3"/>
      <c r="L6" s="13"/>
      <c r="M6" s="3"/>
      <c r="N6" s="3"/>
      <c r="O6" s="3"/>
      <c r="P6" s="3"/>
      <c r="Q6" s="3"/>
      <c r="R6" s="3"/>
      <c r="S6" s="3"/>
      <c r="T6" s="3"/>
      <c r="U6" s="3"/>
      <c r="V6" s="3"/>
      <c r="W6" s="1" t="s">
        <v>20</v>
      </c>
      <c r="X6" s="1" t="s">
        <v>21</v>
      </c>
      <c r="Y6" s="1" t="s">
        <v>22</v>
      </c>
    </row>
    <row r="7" spans="1:25" s="1" customFormat="1" ht="13.5">
      <c r="A7" s="5" t="s">
        <v>23</v>
      </c>
      <c r="B7" s="6">
        <v>1126675.69</v>
      </c>
      <c r="C7" s="16">
        <v>1716900</v>
      </c>
      <c r="D7" s="6">
        <f>(C7/B7-1)*100</f>
        <v>52.38635352112728</v>
      </c>
      <c r="E7" s="6">
        <f>E8+E23</f>
        <v>1571868.04</v>
      </c>
      <c r="F7" s="6">
        <f aca="true" t="shared" si="0" ref="F7:F38">E7/C7*100</f>
        <v>91.55268448948686</v>
      </c>
      <c r="G7" s="6">
        <v>-106900</v>
      </c>
      <c r="H7" s="6"/>
      <c r="I7" s="6">
        <f>C7+G7+H7</f>
        <v>1610000</v>
      </c>
      <c r="J7" s="6">
        <f>(I7/B7-1)*100</f>
        <v>42.89826382958526</v>
      </c>
      <c r="K7" s="6">
        <f aca="true" t="shared" si="1" ref="K7:K38">(I7/C7-1)*100</f>
        <v>-6.2263381676276985</v>
      </c>
      <c r="L7" s="5" t="s">
        <v>24</v>
      </c>
      <c r="M7" s="16">
        <v>1717924.6455</v>
      </c>
      <c r="N7" s="6">
        <v>2666900</v>
      </c>
      <c r="O7" s="6">
        <f>(N7-M7)/M7*100</f>
        <v>55.23963795418987</v>
      </c>
      <c r="P7" s="6">
        <f>SUM(P8:P28)</f>
        <v>2349234.251299999</v>
      </c>
      <c r="Q7" s="6">
        <f>P7/N7*100</f>
        <v>88.08857667329106</v>
      </c>
      <c r="R7" s="6">
        <f>SUM(R8:R28)</f>
        <v>102800</v>
      </c>
      <c r="S7" s="6">
        <f>SUM(S8:S29)</f>
        <v>69000</v>
      </c>
      <c r="T7" s="6">
        <f>SUM(T8:T28)</f>
        <v>2838700</v>
      </c>
      <c r="U7" s="6">
        <f aca="true" t="shared" si="2" ref="U7:U38">(T7/M7-1)*100</f>
        <v>65.24007659100783</v>
      </c>
      <c r="V7" s="6">
        <f aca="true" t="shared" si="3" ref="V7:V38">(T7/N7-1)*100</f>
        <v>6.441936330571085</v>
      </c>
      <c r="W7" s="20">
        <f>SUM(W8:W28)</f>
        <v>830000</v>
      </c>
      <c r="X7" s="1">
        <f>SUM(X8:X28)</f>
        <v>780000</v>
      </c>
      <c r="Y7" s="20">
        <f>X7-W7</f>
        <v>-50000</v>
      </c>
    </row>
    <row r="8" spans="1:25" s="1" customFormat="1" ht="13.5">
      <c r="A8" s="8" t="s">
        <v>25</v>
      </c>
      <c r="B8" s="6">
        <v>1045985.1</v>
      </c>
      <c r="C8" s="16">
        <v>1524050</v>
      </c>
      <c r="D8" s="6">
        <f aca="true" t="shared" si="4" ref="D8:D38">(C8/B8-1)*100</f>
        <v>45.70475239083234</v>
      </c>
      <c r="E8" s="6">
        <f>SUM(E9:E22)</f>
        <v>1327126.75</v>
      </c>
      <c r="F8" s="6">
        <f t="shared" si="0"/>
        <v>87.07895082182343</v>
      </c>
      <c r="G8" s="6">
        <v>-113050</v>
      </c>
      <c r="H8" s="6"/>
      <c r="I8" s="6">
        <f aca="true" t="shared" si="5" ref="I8:I38">C8+G8+H8</f>
        <v>1411000</v>
      </c>
      <c r="J8" s="6">
        <f aca="true" t="shared" si="6" ref="J8:J38">(I8/B8-1)*100</f>
        <v>34.896759045611645</v>
      </c>
      <c r="K8" s="6">
        <f t="shared" si="1"/>
        <v>-7.417735638594536</v>
      </c>
      <c r="L8" s="8" t="s">
        <v>26</v>
      </c>
      <c r="M8" s="16">
        <v>91791.40550000001</v>
      </c>
      <c r="N8" s="6">
        <v>105981.2</v>
      </c>
      <c r="O8" s="6">
        <f aca="true" t="shared" si="7" ref="O8:O38">(N8-M8)/M8*100</f>
        <v>15.458739761861462</v>
      </c>
      <c r="P8" s="6">
        <f>'本级'!P8+39071.4</f>
        <v>103968.57</v>
      </c>
      <c r="Q8" s="6">
        <f aca="true" t="shared" si="8" ref="Q8:Q28">P8/N8*100</f>
        <v>98.1009556411892</v>
      </c>
      <c r="R8" s="6">
        <v>4528</v>
      </c>
      <c r="S8" s="6"/>
      <c r="T8" s="6">
        <f>N8+R8+S8</f>
        <v>110509.2</v>
      </c>
      <c r="U8" s="6">
        <f t="shared" si="2"/>
        <v>20.39166346570429</v>
      </c>
      <c r="V8" s="6">
        <f t="shared" si="3"/>
        <v>4.272455869531577</v>
      </c>
      <c r="W8" s="20">
        <f>N8-'本级'!N8</f>
        <v>39000</v>
      </c>
      <c r="X8" s="1">
        <v>43528</v>
      </c>
      <c r="Y8" s="20">
        <f>X8-W8</f>
        <v>4528</v>
      </c>
    </row>
    <row r="9" spans="1:25" s="1" customFormat="1" ht="15">
      <c r="A9" s="9" t="s">
        <v>27</v>
      </c>
      <c r="B9" s="16">
        <v>183766.83</v>
      </c>
      <c r="C9" s="16">
        <v>596970</v>
      </c>
      <c r="D9" s="6">
        <f t="shared" si="4"/>
        <v>224.85187887280858</v>
      </c>
      <c r="E9" s="6">
        <v>505286.76</v>
      </c>
      <c r="F9" s="6">
        <f t="shared" si="0"/>
        <v>84.64190160309563</v>
      </c>
      <c r="G9" s="6">
        <v>-48370</v>
      </c>
      <c r="H9" s="6"/>
      <c r="I9" s="6">
        <f t="shared" si="5"/>
        <v>548600</v>
      </c>
      <c r="J9" s="6">
        <f t="shared" si="6"/>
        <v>198.53048017425127</v>
      </c>
      <c r="K9" s="6">
        <f t="shared" si="1"/>
        <v>-8.10258471950014</v>
      </c>
      <c r="L9" s="10" t="s">
        <v>28</v>
      </c>
      <c r="M9" s="16">
        <v>1453.31</v>
      </c>
      <c r="N9" s="6">
        <v>1841</v>
      </c>
      <c r="O9" s="6">
        <f t="shared" si="7"/>
        <v>26.676345721146905</v>
      </c>
      <c r="P9" s="6">
        <f>'本级'!P9</f>
        <v>1949.05</v>
      </c>
      <c r="Q9" s="6">
        <f t="shared" si="8"/>
        <v>105.86909288430199</v>
      </c>
      <c r="R9" s="6"/>
      <c r="S9" s="6"/>
      <c r="T9" s="6">
        <f aca="true" t="shared" si="9" ref="T9:T28">N9+R9+S9</f>
        <v>1841</v>
      </c>
      <c r="U9" s="6">
        <f t="shared" si="2"/>
        <v>26.676345721146898</v>
      </c>
      <c r="V9" s="6">
        <f t="shared" si="3"/>
        <v>0</v>
      </c>
      <c r="W9" s="20">
        <f>N9-'本级'!N9</f>
        <v>0</v>
      </c>
      <c r="Y9" s="20">
        <f aca="true" t="shared" si="10" ref="Y9:Y27">X9-W9</f>
        <v>0</v>
      </c>
    </row>
    <row r="10" spans="1:25" s="1" customFormat="1" ht="15">
      <c r="A10" s="9" t="s">
        <v>29</v>
      </c>
      <c r="B10" s="16">
        <v>270532.79</v>
      </c>
      <c r="C10" s="16">
        <v>0</v>
      </c>
      <c r="D10" s="6">
        <f t="shared" si="4"/>
        <v>-100</v>
      </c>
      <c r="E10" s="6"/>
      <c r="F10" s="6"/>
      <c r="G10" s="6">
        <v>0</v>
      </c>
      <c r="H10" s="6"/>
      <c r="I10" s="6">
        <f t="shared" si="5"/>
        <v>0</v>
      </c>
      <c r="J10" s="6">
        <f t="shared" si="6"/>
        <v>-100</v>
      </c>
      <c r="K10" s="6"/>
      <c r="L10" s="8" t="s">
        <v>30</v>
      </c>
      <c r="M10" s="16">
        <v>87276.94</v>
      </c>
      <c r="N10" s="6">
        <v>118482.22</v>
      </c>
      <c r="O10" s="6">
        <f t="shared" si="7"/>
        <v>35.754324108979986</v>
      </c>
      <c r="P10" s="6">
        <f>'本级'!P10+646.32</f>
        <v>111336.55</v>
      </c>
      <c r="Q10" s="6">
        <f t="shared" si="8"/>
        <v>93.96899382877871</v>
      </c>
      <c r="R10" s="6">
        <v>16126</v>
      </c>
      <c r="S10" s="6"/>
      <c r="T10" s="6">
        <f t="shared" si="9"/>
        <v>134608.22</v>
      </c>
      <c r="U10" s="6">
        <f t="shared" si="2"/>
        <v>54.231140550986325</v>
      </c>
      <c r="V10" s="6">
        <f t="shared" si="3"/>
        <v>13.610480964992044</v>
      </c>
      <c r="W10" s="20">
        <f>N10-'本级'!N10</f>
        <v>700</v>
      </c>
      <c r="X10" s="1">
        <v>793</v>
      </c>
      <c r="Y10" s="20">
        <f t="shared" si="10"/>
        <v>93</v>
      </c>
    </row>
    <row r="11" spans="1:25" s="1" customFormat="1" ht="15">
      <c r="A11" s="9" t="s">
        <v>31</v>
      </c>
      <c r="B11" s="16">
        <v>120457.25</v>
      </c>
      <c r="C11" s="16">
        <v>199760</v>
      </c>
      <c r="D11" s="6">
        <f t="shared" si="4"/>
        <v>65.83476710617254</v>
      </c>
      <c r="E11" s="6">
        <v>160275.88</v>
      </c>
      <c r="F11" s="6">
        <f t="shared" si="0"/>
        <v>80.23422106527833</v>
      </c>
      <c r="G11" s="6">
        <v>-39577</v>
      </c>
      <c r="H11" s="6"/>
      <c r="I11" s="6">
        <f t="shared" si="5"/>
        <v>160183</v>
      </c>
      <c r="J11" s="6">
        <f t="shared" si="6"/>
        <v>32.97912744977991</v>
      </c>
      <c r="K11" s="6">
        <f t="shared" si="1"/>
        <v>-19.812274729675604</v>
      </c>
      <c r="L11" s="8" t="s">
        <v>32</v>
      </c>
      <c r="M11" s="16">
        <v>391821.32</v>
      </c>
      <c r="N11" s="6">
        <v>508338.87</v>
      </c>
      <c r="O11" s="6">
        <f t="shared" si="7"/>
        <v>29.737419597279697</v>
      </c>
      <c r="P11" s="6">
        <f>'本级'!P11+118089.9</f>
        <v>423930.65</v>
      </c>
      <c r="Q11" s="6">
        <f t="shared" si="8"/>
        <v>83.39528511758309</v>
      </c>
      <c r="R11" s="6">
        <v>29144</v>
      </c>
      <c r="S11" s="6"/>
      <c r="T11" s="6">
        <f t="shared" si="9"/>
        <v>537482.87</v>
      </c>
      <c r="U11" s="6">
        <f t="shared" si="2"/>
        <v>37.17550387508264</v>
      </c>
      <c r="V11" s="6">
        <f t="shared" si="3"/>
        <v>5.7331834569329665</v>
      </c>
      <c r="W11" s="20">
        <f>N11-'本级'!N11</f>
        <v>134000</v>
      </c>
      <c r="X11" s="1">
        <v>158331</v>
      </c>
      <c r="Y11" s="20">
        <f t="shared" si="10"/>
        <v>24331</v>
      </c>
    </row>
    <row r="12" spans="1:25" s="1" customFormat="1" ht="15">
      <c r="A12" s="9" t="s">
        <v>33</v>
      </c>
      <c r="B12" s="16">
        <v>43765.16</v>
      </c>
      <c r="C12" s="16">
        <v>89950</v>
      </c>
      <c r="D12" s="6">
        <f t="shared" si="4"/>
        <v>105.5287813411398</v>
      </c>
      <c r="E12" s="6">
        <v>68914.25</v>
      </c>
      <c r="F12" s="6">
        <f t="shared" si="0"/>
        <v>76.61395219566425</v>
      </c>
      <c r="G12" s="6">
        <v>-17731</v>
      </c>
      <c r="H12" s="6"/>
      <c r="I12" s="6">
        <f t="shared" si="5"/>
        <v>72219</v>
      </c>
      <c r="J12" s="6">
        <f t="shared" si="6"/>
        <v>65.01482000751282</v>
      </c>
      <c r="K12" s="6">
        <f t="shared" si="1"/>
        <v>-19.712062256809336</v>
      </c>
      <c r="L12" s="8" t="s">
        <v>34</v>
      </c>
      <c r="M12" s="16">
        <v>76219.56</v>
      </c>
      <c r="N12" s="6">
        <v>102669.36</v>
      </c>
      <c r="O12" s="6">
        <f t="shared" si="7"/>
        <v>34.70211583483295</v>
      </c>
      <c r="P12" s="6">
        <f>'本级'!P12+36033.82</f>
        <v>87510.36</v>
      </c>
      <c r="Q12" s="6">
        <f t="shared" si="8"/>
        <v>85.23512759795132</v>
      </c>
      <c r="R12" s="6">
        <v>-3650</v>
      </c>
      <c r="S12" s="6"/>
      <c r="T12" s="6">
        <f t="shared" si="9"/>
        <v>99019.36</v>
      </c>
      <c r="U12" s="6">
        <f t="shared" si="2"/>
        <v>29.913318838366433</v>
      </c>
      <c r="V12" s="6">
        <f t="shared" si="3"/>
        <v>-3.555101541492023</v>
      </c>
      <c r="W12" s="20">
        <f>N12-'本级'!N12</f>
        <v>40000</v>
      </c>
      <c r="X12" s="1">
        <v>36350</v>
      </c>
      <c r="Y12" s="20">
        <f t="shared" si="10"/>
        <v>-3650</v>
      </c>
    </row>
    <row r="13" spans="1:25" s="1" customFormat="1" ht="15">
      <c r="A13" s="9" t="s">
        <v>35</v>
      </c>
      <c r="B13" s="16">
        <v>43561.52</v>
      </c>
      <c r="C13" s="16">
        <v>58000</v>
      </c>
      <c r="D13" s="6">
        <f t="shared" si="4"/>
        <v>33.14503258839454</v>
      </c>
      <c r="E13" s="6">
        <v>50544.05</v>
      </c>
      <c r="F13" s="6">
        <f t="shared" si="0"/>
        <v>87.14491379310346</v>
      </c>
      <c r="G13" s="6">
        <v>-2812</v>
      </c>
      <c r="H13" s="6"/>
      <c r="I13" s="6">
        <f t="shared" si="5"/>
        <v>55188</v>
      </c>
      <c r="J13" s="6">
        <f t="shared" si="6"/>
        <v>26.68979411186754</v>
      </c>
      <c r="K13" s="6">
        <f t="shared" si="1"/>
        <v>-4.848275862068963</v>
      </c>
      <c r="L13" s="8" t="s">
        <v>36</v>
      </c>
      <c r="M13" s="16">
        <v>30336.91</v>
      </c>
      <c r="N13" s="6">
        <v>47021.69</v>
      </c>
      <c r="O13" s="6">
        <f t="shared" si="7"/>
        <v>54.99828426823959</v>
      </c>
      <c r="P13" s="6">
        <f>'本级'!P13+9892.4</f>
        <v>41276.79</v>
      </c>
      <c r="Q13" s="6">
        <f t="shared" si="8"/>
        <v>87.78244678147468</v>
      </c>
      <c r="R13" s="6">
        <v>1638</v>
      </c>
      <c r="S13" s="6"/>
      <c r="T13" s="6">
        <f t="shared" si="9"/>
        <v>48659.69</v>
      </c>
      <c r="U13" s="6">
        <f t="shared" si="2"/>
        <v>60.39764761803361</v>
      </c>
      <c r="V13" s="6">
        <f t="shared" si="3"/>
        <v>3.483498785347794</v>
      </c>
      <c r="W13" s="20">
        <f>N13-'本级'!N13</f>
        <v>11000</v>
      </c>
      <c r="X13" s="1">
        <v>10454</v>
      </c>
      <c r="Y13" s="20">
        <f t="shared" si="10"/>
        <v>-546</v>
      </c>
    </row>
    <row r="14" spans="1:25" s="1" customFormat="1" ht="15">
      <c r="A14" s="9" t="s">
        <v>37</v>
      </c>
      <c r="B14" s="16">
        <v>49604.88</v>
      </c>
      <c r="C14" s="16">
        <v>80870</v>
      </c>
      <c r="D14" s="6">
        <f t="shared" si="4"/>
        <v>63.02831495610916</v>
      </c>
      <c r="E14" s="6">
        <v>65043.47</v>
      </c>
      <c r="F14" s="6">
        <f t="shared" si="0"/>
        <v>80.42966489427477</v>
      </c>
      <c r="G14" s="6">
        <v>-12341</v>
      </c>
      <c r="H14" s="6"/>
      <c r="I14" s="6">
        <f t="shared" si="5"/>
        <v>68529</v>
      </c>
      <c r="J14" s="6">
        <f t="shared" si="6"/>
        <v>38.14971430230252</v>
      </c>
      <c r="K14" s="6">
        <f t="shared" si="1"/>
        <v>-15.260294299493015</v>
      </c>
      <c r="L14" s="8" t="s">
        <v>38</v>
      </c>
      <c r="M14" s="16">
        <v>160180.56</v>
      </c>
      <c r="N14" s="6">
        <v>340369.088</v>
      </c>
      <c r="O14" s="6">
        <f t="shared" si="7"/>
        <v>112.49088403736383</v>
      </c>
      <c r="P14" s="6">
        <f>'本级'!P14+74729.8</f>
        <v>316567.79</v>
      </c>
      <c r="Q14" s="6">
        <f t="shared" si="8"/>
        <v>93.00720927982744</v>
      </c>
      <c r="R14" s="6">
        <v>-6714</v>
      </c>
      <c r="S14" s="6"/>
      <c r="T14" s="6">
        <f t="shared" si="9"/>
        <v>333655.088</v>
      </c>
      <c r="U14" s="6">
        <f t="shared" si="2"/>
        <v>108.29936416753694</v>
      </c>
      <c r="V14" s="6">
        <f t="shared" si="3"/>
        <v>-1.9725645590941587</v>
      </c>
      <c r="W14" s="20">
        <f>N14-'本级'!N14</f>
        <v>85000</v>
      </c>
      <c r="X14" s="1">
        <v>75406</v>
      </c>
      <c r="Y14" s="20">
        <f t="shared" si="10"/>
        <v>-9594</v>
      </c>
    </row>
    <row r="15" spans="1:25" s="1" customFormat="1" ht="15">
      <c r="A15" s="9" t="s">
        <v>39</v>
      </c>
      <c r="B15" s="16">
        <v>35943.65</v>
      </c>
      <c r="C15" s="16">
        <v>46950</v>
      </c>
      <c r="D15" s="6">
        <f t="shared" si="4"/>
        <v>30.621125010954643</v>
      </c>
      <c r="E15" s="6">
        <v>59476.48</v>
      </c>
      <c r="F15" s="6">
        <f t="shared" si="0"/>
        <v>126.68046858359958</v>
      </c>
      <c r="G15" s="6">
        <v>14530</v>
      </c>
      <c r="H15" s="6"/>
      <c r="I15" s="6">
        <f t="shared" si="5"/>
        <v>61480</v>
      </c>
      <c r="J15" s="6">
        <f t="shared" si="6"/>
        <v>71.04551151594232</v>
      </c>
      <c r="K15" s="6">
        <f t="shared" si="1"/>
        <v>30.947816826411078</v>
      </c>
      <c r="L15" s="8" t="s">
        <v>40</v>
      </c>
      <c r="M15" s="16">
        <v>144775.12</v>
      </c>
      <c r="N15" s="6">
        <v>183830.25</v>
      </c>
      <c r="O15" s="6">
        <f t="shared" si="7"/>
        <v>26.976410035094432</v>
      </c>
      <c r="P15" s="6">
        <f>'本级'!P15+42584.27</f>
        <v>169024.12</v>
      </c>
      <c r="Q15" s="6">
        <f t="shared" si="8"/>
        <v>91.94575974302379</v>
      </c>
      <c r="R15" s="6">
        <f>26000-1240</f>
        <v>24760</v>
      </c>
      <c r="S15" s="6"/>
      <c r="T15" s="6">
        <f t="shared" si="9"/>
        <v>208590.25</v>
      </c>
      <c r="U15" s="6">
        <f t="shared" si="2"/>
        <v>44.078796135689615</v>
      </c>
      <c r="V15" s="6">
        <f t="shared" si="3"/>
        <v>13.468947575276658</v>
      </c>
      <c r="W15" s="20">
        <f>N15-'本级'!N15</f>
        <v>48000</v>
      </c>
      <c r="X15" s="1">
        <v>46760</v>
      </c>
      <c r="Y15" s="20">
        <f t="shared" si="10"/>
        <v>-1240</v>
      </c>
    </row>
    <row r="16" spans="1:25" s="1" customFormat="1" ht="15">
      <c r="A16" s="9" t="s">
        <v>41</v>
      </c>
      <c r="B16" s="16">
        <v>10823.46</v>
      </c>
      <c r="C16" s="16">
        <v>13600</v>
      </c>
      <c r="D16" s="6">
        <f t="shared" si="4"/>
        <v>25.652979731065685</v>
      </c>
      <c r="E16" s="6">
        <v>7404.25</v>
      </c>
      <c r="F16" s="6">
        <f t="shared" si="0"/>
        <v>54.443014705882355</v>
      </c>
      <c r="G16" s="6">
        <v>-6082</v>
      </c>
      <c r="H16" s="6"/>
      <c r="I16" s="6">
        <f t="shared" si="5"/>
        <v>7518</v>
      </c>
      <c r="J16" s="6">
        <f t="shared" si="6"/>
        <v>-30.539771939841785</v>
      </c>
      <c r="K16" s="6">
        <f t="shared" si="1"/>
        <v>-44.72058823529412</v>
      </c>
      <c r="L16" s="8" t="s">
        <v>42</v>
      </c>
      <c r="M16" s="16">
        <v>9321.83</v>
      </c>
      <c r="N16" s="6">
        <v>14666.09</v>
      </c>
      <c r="O16" s="6">
        <f t="shared" si="7"/>
        <v>57.330588521781664</v>
      </c>
      <c r="P16" s="6">
        <f>'本级'!P16+8603.78</f>
        <v>12333</v>
      </c>
      <c r="Q16" s="6">
        <f t="shared" si="8"/>
        <v>84.09194270592913</v>
      </c>
      <c r="R16" s="6">
        <v>-490</v>
      </c>
      <c r="S16" s="6"/>
      <c r="T16" s="6">
        <f t="shared" si="9"/>
        <v>14176.09</v>
      </c>
      <c r="U16" s="6">
        <f t="shared" si="2"/>
        <v>52.074109911894986</v>
      </c>
      <c r="V16" s="6">
        <f t="shared" si="3"/>
        <v>-3.341040454545141</v>
      </c>
      <c r="W16" s="20">
        <f>N16-'本级'!N16</f>
        <v>10000</v>
      </c>
      <c r="X16" s="1">
        <v>9510</v>
      </c>
      <c r="Y16" s="20">
        <f t="shared" si="10"/>
        <v>-490</v>
      </c>
    </row>
    <row r="17" spans="1:25" s="1" customFormat="1" ht="15">
      <c r="A17" s="9" t="s">
        <v>43</v>
      </c>
      <c r="B17" s="16">
        <v>152183.72</v>
      </c>
      <c r="C17" s="16">
        <v>249200</v>
      </c>
      <c r="D17" s="6">
        <f t="shared" si="4"/>
        <v>63.74944704992098</v>
      </c>
      <c r="E17" s="6">
        <v>211383.96</v>
      </c>
      <c r="F17" s="6">
        <f t="shared" si="0"/>
        <v>84.82502407704654</v>
      </c>
      <c r="G17" s="6">
        <v>-23495</v>
      </c>
      <c r="H17" s="6"/>
      <c r="I17" s="6">
        <f t="shared" si="5"/>
        <v>225705</v>
      </c>
      <c r="J17" s="6">
        <f t="shared" si="6"/>
        <v>48.31087057143826</v>
      </c>
      <c r="K17" s="6">
        <f t="shared" si="1"/>
        <v>-9.428170144462278</v>
      </c>
      <c r="L17" s="8" t="s">
        <v>44</v>
      </c>
      <c r="M17" s="16">
        <v>256719.9</v>
      </c>
      <c r="N17" s="6">
        <v>350379.01</v>
      </c>
      <c r="O17" s="6">
        <f t="shared" si="7"/>
        <v>36.48299566959945</v>
      </c>
      <c r="P17" s="6">
        <f>'本级'!P17+174373.15</f>
        <v>381923.8</v>
      </c>
      <c r="Q17" s="6">
        <f t="shared" si="8"/>
        <v>109.00304787093266</v>
      </c>
      <c r="R17" s="6">
        <f>50000-2963</f>
        <v>47037</v>
      </c>
      <c r="S17" s="6"/>
      <c r="T17" s="6">
        <f t="shared" si="9"/>
        <v>397416.01</v>
      </c>
      <c r="U17" s="6">
        <f t="shared" si="2"/>
        <v>54.805299472304256</v>
      </c>
      <c r="V17" s="6">
        <f t="shared" si="3"/>
        <v>13.424605543579805</v>
      </c>
      <c r="W17" s="20">
        <f>N17-'本级'!N17</f>
        <v>201000</v>
      </c>
      <c r="X17" s="1">
        <v>167902</v>
      </c>
      <c r="Y17" s="20">
        <f t="shared" si="10"/>
        <v>-33098</v>
      </c>
    </row>
    <row r="18" spans="1:25" s="1" customFormat="1" ht="15">
      <c r="A18" s="9" t="s">
        <v>45</v>
      </c>
      <c r="B18" s="16">
        <v>8343.99</v>
      </c>
      <c r="C18" s="16">
        <v>10100</v>
      </c>
      <c r="D18" s="6">
        <f t="shared" si="4"/>
        <v>21.04520738879121</v>
      </c>
      <c r="E18" s="6">
        <v>10092</v>
      </c>
      <c r="F18" s="6">
        <f t="shared" si="0"/>
        <v>99.92079207920793</v>
      </c>
      <c r="G18" s="6">
        <v>0</v>
      </c>
      <c r="H18" s="6"/>
      <c r="I18" s="6">
        <f t="shared" si="5"/>
        <v>10100</v>
      </c>
      <c r="J18" s="6">
        <f t="shared" si="6"/>
        <v>21.04520738879121</v>
      </c>
      <c r="K18" s="6">
        <f t="shared" si="1"/>
        <v>0</v>
      </c>
      <c r="L18" s="8" t="s">
        <v>46</v>
      </c>
      <c r="M18" s="16">
        <v>76702.09</v>
      </c>
      <c r="N18" s="6">
        <v>197211.46</v>
      </c>
      <c r="O18" s="6">
        <f t="shared" si="7"/>
        <v>157.11354149541427</v>
      </c>
      <c r="P18" s="6">
        <f>'本级'!P18+53736.7</f>
        <v>180238.74</v>
      </c>
      <c r="Q18" s="6">
        <f t="shared" si="8"/>
        <v>91.39364416246399</v>
      </c>
      <c r="R18" s="6">
        <f>3772-3208</f>
        <v>564</v>
      </c>
      <c r="S18" s="6"/>
      <c r="T18" s="6">
        <f t="shared" si="9"/>
        <v>197775.46</v>
      </c>
      <c r="U18" s="6">
        <f t="shared" si="2"/>
        <v>157.84885392301567</v>
      </c>
      <c r="V18" s="6">
        <f t="shared" si="3"/>
        <v>0.2859874370384041</v>
      </c>
      <c r="W18" s="20">
        <f>N18-'本级'!N18</f>
        <v>69999.99999999999</v>
      </c>
      <c r="X18" s="1">
        <v>66792</v>
      </c>
      <c r="Y18" s="20">
        <f t="shared" si="10"/>
        <v>-3207.9999999999854</v>
      </c>
    </row>
    <row r="19" spans="1:25" s="1" customFormat="1" ht="15">
      <c r="A19" s="9" t="s">
        <v>47</v>
      </c>
      <c r="B19" s="16">
        <v>5477.86</v>
      </c>
      <c r="C19" s="16">
        <v>2000</v>
      </c>
      <c r="D19" s="6">
        <f t="shared" si="4"/>
        <v>-63.489391842799925</v>
      </c>
      <c r="E19" s="6">
        <v>1559.72</v>
      </c>
      <c r="F19" s="6">
        <f t="shared" si="0"/>
        <v>77.986</v>
      </c>
      <c r="G19" s="6">
        <v>-568</v>
      </c>
      <c r="H19" s="6"/>
      <c r="I19" s="6">
        <f t="shared" si="5"/>
        <v>1432</v>
      </c>
      <c r="J19" s="6">
        <f t="shared" si="6"/>
        <v>-73.85840455944475</v>
      </c>
      <c r="K19" s="6">
        <f t="shared" si="1"/>
        <v>-28.400000000000002</v>
      </c>
      <c r="L19" s="8" t="s">
        <v>48</v>
      </c>
      <c r="M19" s="16">
        <v>25923.91</v>
      </c>
      <c r="N19" s="6">
        <v>43232.36</v>
      </c>
      <c r="O19" s="6">
        <f t="shared" si="7"/>
        <v>66.76635584678392</v>
      </c>
      <c r="P19" s="6">
        <f>'本级'!P19+14.72</f>
        <v>39983.41</v>
      </c>
      <c r="Q19" s="6">
        <f t="shared" si="8"/>
        <v>92.4849117651685</v>
      </c>
      <c r="R19" s="6">
        <v>-540</v>
      </c>
      <c r="S19" s="6"/>
      <c r="T19" s="6">
        <f t="shared" si="9"/>
        <v>42692.36</v>
      </c>
      <c r="U19" s="6">
        <f t="shared" si="2"/>
        <v>64.68333673431208</v>
      </c>
      <c r="V19" s="6">
        <f t="shared" si="3"/>
        <v>-1.249064358272367</v>
      </c>
      <c r="W19" s="20">
        <f>N19-'本级'!N19</f>
        <v>700</v>
      </c>
      <c r="X19" s="1">
        <v>160</v>
      </c>
      <c r="Y19" s="20">
        <f t="shared" si="10"/>
        <v>-540</v>
      </c>
    </row>
    <row r="20" spans="1:25" s="1" customFormat="1" ht="15">
      <c r="A20" s="9" t="s">
        <v>49</v>
      </c>
      <c r="B20" s="16">
        <v>121523.99</v>
      </c>
      <c r="C20" s="16">
        <v>175800</v>
      </c>
      <c r="D20" s="6">
        <f t="shared" si="4"/>
        <v>44.6627945642667</v>
      </c>
      <c r="E20" s="6">
        <v>186742.93</v>
      </c>
      <c r="F20" s="6">
        <f t="shared" si="0"/>
        <v>106.22464732650738</v>
      </c>
      <c r="G20" s="6">
        <v>23844</v>
      </c>
      <c r="H20" s="6"/>
      <c r="I20" s="6">
        <f t="shared" si="5"/>
        <v>199644</v>
      </c>
      <c r="J20" s="6">
        <f t="shared" si="6"/>
        <v>64.28361182018463</v>
      </c>
      <c r="K20" s="6">
        <f t="shared" si="1"/>
        <v>13.563139931740608</v>
      </c>
      <c r="L20" s="8" t="s">
        <v>50</v>
      </c>
      <c r="M20" s="16">
        <v>194278.97</v>
      </c>
      <c r="N20" s="6">
        <v>268351.61</v>
      </c>
      <c r="O20" s="6">
        <f t="shared" si="7"/>
        <v>38.12694703909537</v>
      </c>
      <c r="P20" s="6">
        <f>'本级'!P20+134756.33</f>
        <v>270777.64</v>
      </c>
      <c r="Q20" s="6">
        <f t="shared" si="8"/>
        <v>100.90404898260161</v>
      </c>
      <c r="R20" s="6">
        <f>11700-5948</f>
        <v>5752</v>
      </c>
      <c r="S20" s="6"/>
      <c r="T20" s="6">
        <f t="shared" si="9"/>
        <v>274103.61</v>
      </c>
      <c r="U20" s="6">
        <f t="shared" si="2"/>
        <v>41.08763804955318</v>
      </c>
      <c r="V20" s="6">
        <f t="shared" si="3"/>
        <v>2.1434564897896413</v>
      </c>
      <c r="W20" s="20">
        <f>N20-'本级'!N20</f>
        <v>140000</v>
      </c>
      <c r="X20" s="1">
        <v>134052</v>
      </c>
      <c r="Y20" s="20">
        <f t="shared" si="10"/>
        <v>-5948</v>
      </c>
    </row>
    <row r="21" spans="1:25" s="1" customFormat="1" ht="15">
      <c r="A21" s="9" t="s">
        <v>51</v>
      </c>
      <c r="B21" s="6">
        <v>80690.59</v>
      </c>
      <c r="C21" s="16">
        <v>850</v>
      </c>
      <c r="D21" s="6">
        <f t="shared" si="4"/>
        <v>-98.94659340079184</v>
      </c>
      <c r="E21" s="6">
        <v>852.39</v>
      </c>
      <c r="F21" s="6">
        <f t="shared" si="0"/>
        <v>100.28117647058824</v>
      </c>
      <c r="G21" s="6">
        <v>10</v>
      </c>
      <c r="H21" s="6"/>
      <c r="I21" s="6">
        <f t="shared" si="5"/>
        <v>860</v>
      </c>
      <c r="J21" s="6">
        <f t="shared" si="6"/>
        <v>-98.93420038197762</v>
      </c>
      <c r="K21" s="6">
        <f t="shared" si="1"/>
        <v>1.17647058823529</v>
      </c>
      <c r="L21" s="8" t="s">
        <v>52</v>
      </c>
      <c r="M21" s="16">
        <v>26767.72</v>
      </c>
      <c r="N21" s="6">
        <v>11040</v>
      </c>
      <c r="O21" s="6">
        <f t="shared" si="7"/>
        <v>-58.75629302757201</v>
      </c>
      <c r="P21" s="6">
        <f>'本级'!P21+16566.06</f>
        <v>16822.460000000003</v>
      </c>
      <c r="Q21" s="6">
        <f t="shared" si="8"/>
        <v>152.37735507246379</v>
      </c>
      <c r="R21" s="6">
        <v>2366</v>
      </c>
      <c r="S21" s="6"/>
      <c r="T21" s="6">
        <f t="shared" si="9"/>
        <v>13406</v>
      </c>
      <c r="U21" s="6">
        <f t="shared" si="2"/>
        <v>-49.91728843547377</v>
      </c>
      <c r="V21" s="6">
        <f t="shared" si="3"/>
        <v>21.43115942028986</v>
      </c>
      <c r="W21" s="20">
        <f>N21-'本级'!N21</f>
        <v>10500</v>
      </c>
      <c r="X21" s="1">
        <v>12866</v>
      </c>
      <c r="Y21" s="20">
        <f t="shared" si="10"/>
        <v>2366</v>
      </c>
    </row>
    <row r="22" spans="1:25" s="1" customFormat="1" ht="15">
      <c r="A22" s="9" t="s">
        <v>53</v>
      </c>
      <c r="B22" s="6"/>
      <c r="C22" s="16"/>
      <c r="D22" s="6"/>
      <c r="E22" s="6">
        <v>-449.39</v>
      </c>
      <c r="F22" s="6"/>
      <c r="G22" s="6">
        <v>-458</v>
      </c>
      <c r="H22" s="6"/>
      <c r="I22" s="6">
        <f t="shared" si="5"/>
        <v>-458</v>
      </c>
      <c r="J22" s="6"/>
      <c r="K22" s="6"/>
      <c r="L22" s="8" t="s">
        <v>54</v>
      </c>
      <c r="M22" s="16"/>
      <c r="N22" s="6">
        <v>1065.51</v>
      </c>
      <c r="O22" s="6"/>
      <c r="P22" s="6">
        <f>'本级'!P22</f>
        <v>837.93</v>
      </c>
      <c r="Q22" s="6">
        <f t="shared" si="8"/>
        <v>78.64121406650337</v>
      </c>
      <c r="R22" s="6"/>
      <c r="S22" s="6"/>
      <c r="T22" s="6">
        <f t="shared" si="9"/>
        <v>1065.51</v>
      </c>
      <c r="U22" s="6"/>
      <c r="V22" s="6">
        <f t="shared" si="3"/>
        <v>0</v>
      </c>
      <c r="W22" s="20">
        <f>N22-'本级'!N22</f>
        <v>0</v>
      </c>
      <c r="Y22" s="20">
        <f t="shared" si="10"/>
        <v>0</v>
      </c>
    </row>
    <row r="23" spans="1:25" s="1" customFormat="1" ht="13.5">
      <c r="A23" s="8" t="s">
        <v>55</v>
      </c>
      <c r="B23" s="16">
        <v>632.43</v>
      </c>
      <c r="C23" s="16">
        <v>192850</v>
      </c>
      <c r="D23" s="6">
        <f t="shared" si="4"/>
        <v>30393.493351042805</v>
      </c>
      <c r="E23" s="6">
        <f>SUM(E24:E27)</f>
        <v>244741.29</v>
      </c>
      <c r="F23" s="6">
        <f t="shared" si="0"/>
        <v>126.90759139227379</v>
      </c>
      <c r="G23" s="6">
        <v>6150</v>
      </c>
      <c r="H23" s="6"/>
      <c r="I23" s="6">
        <f t="shared" si="5"/>
        <v>199000</v>
      </c>
      <c r="J23" s="6">
        <f t="shared" si="6"/>
        <v>31365.932988631153</v>
      </c>
      <c r="K23" s="6">
        <f t="shared" si="1"/>
        <v>3.1890070002592585</v>
      </c>
      <c r="L23" s="8" t="s">
        <v>56</v>
      </c>
      <c r="M23" s="16">
        <v>1377.18</v>
      </c>
      <c r="N23" s="6">
        <v>115839.22</v>
      </c>
      <c r="O23" s="6">
        <f t="shared" si="7"/>
        <v>8311.334756531463</v>
      </c>
      <c r="P23" s="6">
        <f>'本级'!P23+11887.7</f>
        <v>64388.649999999994</v>
      </c>
      <c r="Q23" s="6">
        <f t="shared" si="8"/>
        <v>55.58449892877386</v>
      </c>
      <c r="R23" s="6">
        <f>-40000+2186</f>
        <v>-37814</v>
      </c>
      <c r="S23" s="6"/>
      <c r="T23" s="6">
        <f t="shared" si="9"/>
        <v>78025.22</v>
      </c>
      <c r="U23" s="6">
        <f t="shared" si="2"/>
        <v>5565.578936667683</v>
      </c>
      <c r="V23" s="6">
        <f t="shared" si="3"/>
        <v>-32.64352090768568</v>
      </c>
      <c r="W23" s="20">
        <f>N23-'本级'!N23</f>
        <v>11500</v>
      </c>
      <c r="X23" s="1">
        <v>13686</v>
      </c>
      <c r="Y23" s="20">
        <f t="shared" si="10"/>
        <v>2186</v>
      </c>
    </row>
    <row r="24" spans="1:25" s="1" customFormat="1" ht="15">
      <c r="A24" s="9" t="s">
        <v>57</v>
      </c>
      <c r="B24" s="16">
        <v>16989.72</v>
      </c>
      <c r="C24" s="16">
        <v>105000</v>
      </c>
      <c r="D24" s="6">
        <f t="shared" si="4"/>
        <v>518.0207796243847</v>
      </c>
      <c r="E24" s="6">
        <v>167881.26</v>
      </c>
      <c r="F24" s="6">
        <f t="shared" si="0"/>
        <v>159.88691428571428</v>
      </c>
      <c r="G24" s="6">
        <v>9000</v>
      </c>
      <c r="H24" s="6"/>
      <c r="I24" s="6">
        <f t="shared" si="5"/>
        <v>114000</v>
      </c>
      <c r="J24" s="6">
        <f t="shared" si="6"/>
        <v>570.9939893064746</v>
      </c>
      <c r="K24" s="6">
        <f t="shared" si="1"/>
        <v>8.571428571428562</v>
      </c>
      <c r="L24" s="8" t="s">
        <v>58</v>
      </c>
      <c r="M24" s="16">
        <v>68086.13</v>
      </c>
      <c r="N24" s="6">
        <v>5458.79</v>
      </c>
      <c r="O24" s="6">
        <f t="shared" si="7"/>
        <v>-91.9825227252599</v>
      </c>
      <c r="P24" s="6">
        <f>'本级'!P24</f>
        <v>6474.53</v>
      </c>
      <c r="Q24" s="6">
        <f t="shared" si="8"/>
        <v>118.60742032574984</v>
      </c>
      <c r="R24" s="6"/>
      <c r="S24" s="6"/>
      <c r="T24" s="6">
        <f t="shared" si="9"/>
        <v>5458.79</v>
      </c>
      <c r="U24" s="6">
        <f t="shared" si="2"/>
        <v>-91.98252272525991</v>
      </c>
      <c r="V24" s="6">
        <f t="shared" si="3"/>
        <v>0</v>
      </c>
      <c r="W24" s="20">
        <f>N24-'本级'!N24</f>
        <v>0</v>
      </c>
      <c r="Y24" s="20">
        <f t="shared" si="10"/>
        <v>0</v>
      </c>
    </row>
    <row r="25" spans="1:25" s="1" customFormat="1" ht="15">
      <c r="A25" s="9" t="s">
        <v>59</v>
      </c>
      <c r="B25" s="16">
        <v>63068.44</v>
      </c>
      <c r="C25" s="16">
        <v>22000</v>
      </c>
      <c r="D25" s="6">
        <f t="shared" si="4"/>
        <v>-65.11725991637022</v>
      </c>
      <c r="E25" s="6">
        <v>21139.8</v>
      </c>
      <c r="F25" s="6">
        <f t="shared" si="0"/>
        <v>96.09</v>
      </c>
      <c r="G25" s="6">
        <v>0</v>
      </c>
      <c r="H25" s="6"/>
      <c r="I25" s="6">
        <f t="shared" si="5"/>
        <v>22000</v>
      </c>
      <c r="J25" s="6">
        <f t="shared" si="6"/>
        <v>-65.11725991637022</v>
      </c>
      <c r="K25" s="6">
        <f t="shared" si="1"/>
        <v>0</v>
      </c>
      <c r="L25" s="14" t="s">
        <v>60</v>
      </c>
      <c r="M25" s="16">
        <v>3050.11</v>
      </c>
      <c r="N25" s="6">
        <v>7390.02</v>
      </c>
      <c r="O25" s="6">
        <f t="shared" si="7"/>
        <v>142.28699948526446</v>
      </c>
      <c r="P25" s="6">
        <f>'本级'!P25</f>
        <v>7534</v>
      </c>
      <c r="Q25" s="6">
        <f t="shared" si="8"/>
        <v>101.94830325222395</v>
      </c>
      <c r="R25" s="6">
        <v>2183</v>
      </c>
      <c r="S25" s="6"/>
      <c r="T25" s="6">
        <f t="shared" si="9"/>
        <v>9573.02</v>
      </c>
      <c r="U25" s="6">
        <f t="shared" si="2"/>
        <v>213.85818872106253</v>
      </c>
      <c r="V25" s="6">
        <f t="shared" si="3"/>
        <v>29.53983886376492</v>
      </c>
      <c r="W25" s="20">
        <f>N25-'本级'!N25</f>
        <v>0</v>
      </c>
      <c r="Y25" s="20">
        <f t="shared" si="10"/>
        <v>0</v>
      </c>
    </row>
    <row r="26" spans="1:25" s="1" customFormat="1" ht="15">
      <c r="A26" s="9" t="s">
        <v>61</v>
      </c>
      <c r="B26" s="16"/>
      <c r="C26" s="16">
        <v>15000</v>
      </c>
      <c r="D26" s="6"/>
      <c r="E26" s="6">
        <v>22491.64</v>
      </c>
      <c r="F26" s="6">
        <f t="shared" si="0"/>
        <v>149.94426666666666</v>
      </c>
      <c r="G26" s="6">
        <v>12000</v>
      </c>
      <c r="H26" s="6"/>
      <c r="I26" s="6">
        <f t="shared" si="5"/>
        <v>27000</v>
      </c>
      <c r="J26" s="6"/>
      <c r="K26" s="6">
        <f t="shared" si="1"/>
        <v>80</v>
      </c>
      <c r="L26" s="14" t="s">
        <v>62</v>
      </c>
      <c r="M26" s="16"/>
      <c r="N26" s="6">
        <v>79900</v>
      </c>
      <c r="O26" s="6"/>
      <c r="P26" s="6">
        <f>'本级'!P26</f>
        <v>0</v>
      </c>
      <c r="Q26" s="6">
        <f t="shared" si="8"/>
        <v>0</v>
      </c>
      <c r="R26" s="6">
        <v>-24900</v>
      </c>
      <c r="S26" s="6"/>
      <c r="T26" s="6">
        <f t="shared" si="9"/>
        <v>55000</v>
      </c>
      <c r="U26" s="6"/>
      <c r="V26" s="6">
        <f t="shared" si="3"/>
        <v>-31.163954943679595</v>
      </c>
      <c r="W26" s="20">
        <f>N26-'本级'!N26</f>
        <v>24900</v>
      </c>
      <c r="Y26" s="20">
        <f t="shared" si="10"/>
        <v>-24900</v>
      </c>
    </row>
    <row r="27" spans="1:25" s="1" customFormat="1" ht="15">
      <c r="A27" s="9" t="s">
        <v>63</v>
      </c>
      <c r="B27" s="16"/>
      <c r="C27" s="16">
        <v>50850</v>
      </c>
      <c r="D27" s="6"/>
      <c r="E27" s="6">
        <v>33228.59</v>
      </c>
      <c r="F27" s="6">
        <f t="shared" si="0"/>
        <v>65.34629301868239</v>
      </c>
      <c r="G27" s="6">
        <v>-14850</v>
      </c>
      <c r="H27" s="6"/>
      <c r="I27" s="6">
        <f t="shared" si="5"/>
        <v>36000</v>
      </c>
      <c r="J27" s="6"/>
      <c r="K27" s="6">
        <f t="shared" si="1"/>
        <v>-29.20353982300885</v>
      </c>
      <c r="L27" s="8" t="s">
        <v>64</v>
      </c>
      <c r="M27" s="16"/>
      <c r="N27" s="6">
        <v>140590.25199999998</v>
      </c>
      <c r="O27" s="6"/>
      <c r="P27" s="6">
        <f>'本级'!P27+3774.99</f>
        <v>87840.82</v>
      </c>
      <c r="Q27" s="6">
        <f t="shared" si="8"/>
        <v>62.48002173009834</v>
      </c>
      <c r="R27" s="6">
        <f>-16900+71700-11700-290</f>
        <v>42810</v>
      </c>
      <c r="S27" s="6">
        <v>69000</v>
      </c>
      <c r="T27" s="6">
        <f t="shared" si="9"/>
        <v>252400.25199999998</v>
      </c>
      <c r="U27" s="6"/>
      <c r="V27" s="6">
        <f t="shared" si="3"/>
        <v>79.52898469802872</v>
      </c>
      <c r="W27" s="20">
        <f>N27-'本级'!N27</f>
        <v>3700</v>
      </c>
      <c r="X27" s="1">
        <v>3410</v>
      </c>
      <c r="Y27" s="20">
        <f t="shared" si="10"/>
        <v>-290</v>
      </c>
    </row>
    <row r="28" spans="1:23" s="1" customFormat="1" ht="13.5">
      <c r="A28" s="5"/>
      <c r="B28" s="17"/>
      <c r="C28" s="17"/>
      <c r="D28" s="6"/>
      <c r="E28" s="6"/>
      <c r="F28" s="6"/>
      <c r="G28" s="6"/>
      <c r="H28" s="6"/>
      <c r="I28" s="6"/>
      <c r="J28" s="6"/>
      <c r="K28" s="6"/>
      <c r="L28" s="14" t="s">
        <v>65</v>
      </c>
      <c r="M28" s="16">
        <v>71841.68</v>
      </c>
      <c r="N28" s="6">
        <v>23242</v>
      </c>
      <c r="O28" s="6">
        <f t="shared" si="7"/>
        <v>-67.64830666543432</v>
      </c>
      <c r="P28" s="6">
        <f>'本级'!P28</f>
        <v>24515.3913</v>
      </c>
      <c r="Q28" s="6">
        <f t="shared" si="8"/>
        <v>105.47883701918938</v>
      </c>
      <c r="R28" s="6"/>
      <c r="S28" s="6"/>
      <c r="T28" s="6">
        <f t="shared" si="9"/>
        <v>23242</v>
      </c>
      <c r="U28" s="6">
        <f t="shared" si="2"/>
        <v>-67.64830666543433</v>
      </c>
      <c r="V28" s="6">
        <f t="shared" si="3"/>
        <v>0</v>
      </c>
      <c r="W28" s="20">
        <f>N28-'本级'!N28</f>
        <v>0</v>
      </c>
    </row>
    <row r="29" spans="1:22" s="1" customFormat="1" ht="13.5">
      <c r="A29" s="10"/>
      <c r="B29" s="17">
        <v>729312.85</v>
      </c>
      <c r="C29" s="17"/>
      <c r="D29" s="6"/>
      <c r="E29" s="6"/>
      <c r="F29" s="6"/>
      <c r="G29" s="6"/>
      <c r="H29" s="6"/>
      <c r="I29" s="6"/>
      <c r="J29" s="6">
        <f t="shared" si="6"/>
        <v>-100</v>
      </c>
      <c r="K29" s="6"/>
      <c r="L29" s="10"/>
      <c r="M29" s="16"/>
      <c r="N29" s="16"/>
      <c r="O29" s="6"/>
      <c r="P29" s="6"/>
      <c r="Q29" s="6"/>
      <c r="R29" s="6"/>
      <c r="S29" s="6"/>
      <c r="T29" s="6"/>
      <c r="U29" s="6"/>
      <c r="V29" s="6"/>
    </row>
    <row r="30" spans="1:22" s="1" customFormat="1" ht="13.5">
      <c r="A30" s="5" t="s">
        <v>66</v>
      </c>
      <c r="B30" s="10"/>
      <c r="C30" s="17">
        <v>950000</v>
      </c>
      <c r="D30" s="6" t="e">
        <f>(C30/B30-1)*100</f>
        <v>#DIV/0!</v>
      </c>
      <c r="E30" s="6">
        <f>1111822.77-105133.05</f>
        <v>1006689.72</v>
      </c>
      <c r="F30" s="6"/>
      <c r="G30" s="6">
        <v>83700</v>
      </c>
      <c r="H30" s="6"/>
      <c r="I30" s="6">
        <f t="shared" si="5"/>
        <v>1033700</v>
      </c>
      <c r="J30" s="6"/>
      <c r="K30" s="6">
        <f t="shared" si="1"/>
        <v>8.810526315789469</v>
      </c>
      <c r="L30" s="11"/>
      <c r="M30" s="17"/>
      <c r="N30" s="17"/>
      <c r="O30" s="6"/>
      <c r="P30" s="6"/>
      <c r="Q30" s="6"/>
      <c r="R30" s="6"/>
      <c r="S30" s="6"/>
      <c r="T30" s="6"/>
      <c r="U30" s="6" t="e">
        <f t="shared" si="2"/>
        <v>#DIV/0!</v>
      </c>
      <c r="V30" s="6"/>
    </row>
    <row r="31" spans="1:22" s="1" customFormat="1" ht="13.5">
      <c r="A31" s="5" t="s">
        <v>67</v>
      </c>
      <c r="B31" s="17"/>
      <c r="C31" s="17"/>
      <c r="D31" s="6"/>
      <c r="E31" s="6"/>
      <c r="F31" s="6"/>
      <c r="G31" s="6"/>
      <c r="H31" s="6"/>
      <c r="I31" s="6"/>
      <c r="J31" s="6"/>
      <c r="K31" s="6"/>
      <c r="L31" s="11" t="s">
        <v>68</v>
      </c>
      <c r="M31" s="16">
        <v>7254.6</v>
      </c>
      <c r="N31" s="6"/>
      <c r="O31" s="6">
        <f t="shared" si="7"/>
        <v>-100</v>
      </c>
      <c r="P31" s="6">
        <v>64549</v>
      </c>
      <c r="Q31" s="6"/>
      <c r="R31" s="6">
        <v>64000</v>
      </c>
      <c r="S31" s="6"/>
      <c r="T31" s="6">
        <v>64000</v>
      </c>
      <c r="U31" s="6">
        <f t="shared" si="2"/>
        <v>782.19888071017</v>
      </c>
      <c r="V31" s="6"/>
    </row>
    <row r="32" spans="1:22" s="1" customFormat="1" ht="13.5">
      <c r="A32" s="11" t="s">
        <v>69</v>
      </c>
      <c r="B32" s="17"/>
      <c r="C32" s="17"/>
      <c r="D32" s="6"/>
      <c r="E32" s="6">
        <v>140000</v>
      </c>
      <c r="F32" s="6"/>
      <c r="G32" s="6">
        <v>140000</v>
      </c>
      <c r="H32" s="6"/>
      <c r="I32" s="6">
        <f t="shared" si="5"/>
        <v>140000</v>
      </c>
      <c r="J32" s="6"/>
      <c r="K32" s="6"/>
      <c r="L32" s="5" t="s">
        <v>70</v>
      </c>
      <c r="M32" s="16"/>
      <c r="N32" s="6"/>
      <c r="O32" s="6"/>
      <c r="P32" s="6"/>
      <c r="Q32" s="6"/>
      <c r="R32" s="6"/>
      <c r="S32" s="6"/>
      <c r="T32" s="6"/>
      <c r="U32" s="6"/>
      <c r="V32" s="6"/>
    </row>
    <row r="33" spans="1:22" s="1" customFormat="1" ht="13.5">
      <c r="A33" s="5" t="s">
        <v>71</v>
      </c>
      <c r="B33" s="10"/>
      <c r="C33" s="17"/>
      <c r="D33" s="6"/>
      <c r="E33" s="6"/>
      <c r="F33" s="6"/>
      <c r="G33" s="6"/>
      <c r="H33" s="6"/>
      <c r="I33" s="6"/>
      <c r="J33" s="6"/>
      <c r="K33" s="6"/>
      <c r="L33" s="5" t="s">
        <v>72</v>
      </c>
      <c r="M33" s="16"/>
      <c r="N33" s="6"/>
      <c r="O33" s="6"/>
      <c r="P33" s="6"/>
      <c r="Q33" s="6"/>
      <c r="R33" s="6"/>
      <c r="S33" s="6"/>
      <c r="T33" s="6"/>
      <c r="U33" s="6"/>
      <c r="V33" s="6"/>
    </row>
    <row r="34" spans="1:22" s="1" customFormat="1" ht="13.5">
      <c r="A34" s="5" t="s">
        <v>73</v>
      </c>
      <c r="B34" s="10"/>
      <c r="C34" s="16"/>
      <c r="D34" s="6"/>
      <c r="E34" s="10"/>
      <c r="F34" s="6"/>
      <c r="G34" s="6">
        <v>50000</v>
      </c>
      <c r="H34" s="6">
        <v>69000</v>
      </c>
      <c r="I34" s="6">
        <f t="shared" si="5"/>
        <v>119000</v>
      </c>
      <c r="J34" s="6"/>
      <c r="K34" s="6"/>
      <c r="L34" s="5" t="s">
        <v>74</v>
      </c>
      <c r="M34" s="16"/>
      <c r="N34" s="6"/>
      <c r="O34" s="6"/>
      <c r="P34" s="6"/>
      <c r="Q34" s="6"/>
      <c r="R34" s="6"/>
      <c r="S34" s="6"/>
      <c r="T34" s="6"/>
      <c r="U34" s="6"/>
      <c r="V34" s="6"/>
    </row>
    <row r="35" spans="1:22" s="1" customFormat="1" ht="13.5">
      <c r="A35" s="5" t="s">
        <v>75</v>
      </c>
      <c r="B35" s="10"/>
      <c r="C35" s="16"/>
      <c r="D35" s="6"/>
      <c r="E35" s="6"/>
      <c r="F35" s="6"/>
      <c r="G35" s="6"/>
      <c r="H35" s="6"/>
      <c r="I35" s="6"/>
      <c r="J35" s="6"/>
      <c r="K35" s="6"/>
      <c r="L35" s="5" t="s">
        <v>76</v>
      </c>
      <c r="M35" s="16">
        <v>76000</v>
      </c>
      <c r="N35" s="6"/>
      <c r="O35" s="6"/>
      <c r="P35" s="6"/>
      <c r="Q35" s="6"/>
      <c r="R35" s="6"/>
      <c r="S35" s="6"/>
      <c r="T35" s="6"/>
      <c r="U35" s="6"/>
      <c r="V35" s="6"/>
    </row>
    <row r="36" spans="1:22" s="1" customFormat="1" ht="13.5">
      <c r="A36" s="10"/>
      <c r="B36" s="10"/>
      <c r="C36" s="16"/>
      <c r="D36" s="6"/>
      <c r="E36" s="10"/>
      <c r="F36" s="6"/>
      <c r="G36" s="6"/>
      <c r="H36" s="6"/>
      <c r="I36" s="6"/>
      <c r="J36" s="6"/>
      <c r="K36" s="6"/>
      <c r="L36" s="10"/>
      <c r="M36" s="16">
        <v>1799.38</v>
      </c>
      <c r="N36" s="6"/>
      <c r="O36" s="6"/>
      <c r="P36" s="6"/>
      <c r="Q36" s="6"/>
      <c r="R36" s="6"/>
      <c r="S36" s="6"/>
      <c r="T36" s="6"/>
      <c r="U36" s="6"/>
      <c r="V36" s="6"/>
    </row>
    <row r="37" spans="1:22" s="1" customFormat="1" ht="13.5">
      <c r="A37" s="10"/>
      <c r="B37" s="10"/>
      <c r="C37" s="16"/>
      <c r="D37" s="6"/>
      <c r="E37" s="10"/>
      <c r="F37" s="6"/>
      <c r="G37" s="6"/>
      <c r="H37" s="6"/>
      <c r="I37" s="6"/>
      <c r="J37" s="6"/>
      <c r="K37" s="6"/>
      <c r="L37" s="5"/>
      <c r="M37" s="16"/>
      <c r="N37" s="6"/>
      <c r="O37" s="6"/>
      <c r="P37" s="6"/>
      <c r="Q37" s="6"/>
      <c r="R37" s="6"/>
      <c r="S37" s="6"/>
      <c r="T37" s="6"/>
      <c r="U37" s="6"/>
      <c r="V37" s="6"/>
    </row>
    <row r="38" spans="1:22" s="1" customFormat="1" ht="13.5">
      <c r="A38" s="4" t="s">
        <v>77</v>
      </c>
      <c r="B38" s="6">
        <f>B7+B29+B30+B31+B32+B33+B34</f>
        <v>1855988.54</v>
      </c>
      <c r="C38" s="6">
        <f>C7+C30+C31+C32+C33+C34+C35</f>
        <v>2666900</v>
      </c>
      <c r="D38" s="6">
        <f t="shared" si="4"/>
        <v>43.69161999243809</v>
      </c>
      <c r="E38" s="6">
        <f>E7+E30+E32</f>
        <v>2718557.76</v>
      </c>
      <c r="F38" s="6">
        <f t="shared" si="0"/>
        <v>101.93699651280512</v>
      </c>
      <c r="G38" s="6">
        <f>G7+G30+G32+G34</f>
        <v>166800</v>
      </c>
      <c r="H38" s="6">
        <f>H7+H30+H32+H34</f>
        <v>69000</v>
      </c>
      <c r="I38" s="6">
        <f t="shared" si="5"/>
        <v>2902700</v>
      </c>
      <c r="J38" s="6">
        <f t="shared" si="6"/>
        <v>56.39643981853466</v>
      </c>
      <c r="K38" s="6">
        <f t="shared" si="1"/>
        <v>8.841726348944468</v>
      </c>
      <c r="L38" s="4" t="s">
        <v>77</v>
      </c>
      <c r="M38" s="6">
        <f>M7+M30+M31+M32+M33+M34+M35+M36</f>
        <v>1802978.6255</v>
      </c>
      <c r="N38" s="6">
        <f>C38</f>
        <v>2666900</v>
      </c>
      <c r="O38" s="6">
        <f t="shared" si="7"/>
        <v>47.91634034266037</v>
      </c>
      <c r="P38" s="6">
        <f>P7+P31+P32+P33+P34+P35</f>
        <v>2413783.251299999</v>
      </c>
      <c r="Q38" s="6">
        <f>P38/N38*100</f>
        <v>90.50895239041581</v>
      </c>
      <c r="R38" s="6">
        <f>R7+R31</f>
        <v>166800</v>
      </c>
      <c r="S38" s="6">
        <f>T38-N38-R38</f>
        <v>69000</v>
      </c>
      <c r="T38" s="6">
        <f>I38</f>
        <v>2902700</v>
      </c>
      <c r="U38" s="6">
        <f t="shared" si="2"/>
        <v>60.99469838113174</v>
      </c>
      <c r="V38" s="6">
        <f t="shared" si="3"/>
        <v>8.841726348944468</v>
      </c>
    </row>
    <row r="40" spans="6:7" ht="14.25">
      <c r="F40" s="12"/>
      <c r="G40" s="12"/>
    </row>
    <row r="41" spans="5:20" ht="14.25">
      <c r="E41" s="12"/>
      <c r="T41" s="12"/>
    </row>
    <row r="42" ht="14.25">
      <c r="I42" s="12"/>
    </row>
    <row r="43" ht="14.25">
      <c r="H43" s="12"/>
    </row>
    <row r="55" ht="14.25">
      <c r="C55" s="18"/>
    </row>
    <row r="56" ht="14.25">
      <c r="C56" s="18"/>
    </row>
    <row r="57" ht="14.25">
      <c r="C57" s="19"/>
    </row>
    <row r="58" ht="14.25">
      <c r="C58" s="19"/>
    </row>
    <row r="59" ht="14.25">
      <c r="C59" s="19"/>
    </row>
    <row r="60" ht="14.25">
      <c r="C60" s="19"/>
    </row>
    <row r="61" ht="14.25">
      <c r="C61" s="19"/>
    </row>
    <row r="62" ht="14.25">
      <c r="C62" s="19"/>
    </row>
    <row r="63" ht="14.25">
      <c r="C63" s="19"/>
    </row>
    <row r="64" ht="14.25">
      <c r="C64" s="19"/>
    </row>
    <row r="65" ht="14.25">
      <c r="C65" s="19"/>
    </row>
    <row r="66" ht="14.25">
      <c r="C66" s="19"/>
    </row>
    <row r="67" ht="14.25">
      <c r="C67" s="18"/>
    </row>
    <row r="68" ht="14.25">
      <c r="C68" s="18"/>
    </row>
    <row r="69" ht="14.25">
      <c r="C69" s="18"/>
    </row>
    <row r="70" ht="14.25">
      <c r="C70" s="19"/>
    </row>
    <row r="71" ht="14.25">
      <c r="C71" s="19"/>
    </row>
    <row r="72" ht="14.25">
      <c r="C72" s="19"/>
    </row>
    <row r="73" ht="14.25">
      <c r="C73" s="19"/>
    </row>
    <row r="74" ht="14.25">
      <c r="C74" s="21"/>
    </row>
    <row r="75" ht="14.25">
      <c r="C75" s="21"/>
    </row>
    <row r="76" ht="14.25">
      <c r="C76" s="22"/>
    </row>
    <row r="77" ht="14.25">
      <c r="C77" s="21"/>
    </row>
    <row r="78" ht="14.25">
      <c r="C78" s="21"/>
    </row>
    <row r="79" ht="14.25">
      <c r="C79" s="18"/>
    </row>
    <row r="80" ht="14.25">
      <c r="C80" s="18"/>
    </row>
    <row r="81" ht="14.25">
      <c r="C81" s="18"/>
    </row>
    <row r="82" ht="14.25">
      <c r="C82" s="18"/>
    </row>
    <row r="83" ht="14.25">
      <c r="C83" s="18"/>
    </row>
    <row r="84" ht="14.25">
      <c r="C84" s="18"/>
    </row>
    <row r="85" ht="14.25">
      <c r="C85" s="18"/>
    </row>
    <row r="86" ht="14.25">
      <c r="C86" s="18"/>
    </row>
    <row r="87" ht="14.25">
      <c r="C87" s="18"/>
    </row>
    <row r="88" ht="14.25">
      <c r="C88" s="18"/>
    </row>
    <row r="89" ht="14.25">
      <c r="C89" s="23"/>
    </row>
  </sheetData>
  <sheetProtection/>
  <mergeCells count="25">
    <mergeCell ref="A2:K2"/>
    <mergeCell ref="B4:K4"/>
    <mergeCell ref="M4:V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4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/>
  <pageMargins left="1.7716535433070868" right="0.15748031496062992" top="0.8267716535433072" bottom="0.3937007874015748" header="0.8267716535433072" footer="0.35433070866141736"/>
  <pageSetup horizontalDpi="600" verticalDpi="600" orientation="landscape" paperSize="9" scale="80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V43"/>
  <sheetViews>
    <sheetView workbookViewId="0" topLeftCell="A1">
      <selection activeCell="S7" sqref="S7"/>
    </sheetView>
  </sheetViews>
  <sheetFormatPr defaultColWidth="9.00390625" defaultRowHeight="14.25"/>
  <cols>
    <col min="1" max="1" width="33.00390625" style="0" customWidth="1"/>
    <col min="2" max="2" width="13.75390625" style="0" hidden="1" customWidth="1"/>
    <col min="3" max="3" width="13.50390625" style="0" customWidth="1"/>
    <col min="4" max="4" width="10.50390625" style="0" hidden="1" customWidth="1"/>
    <col min="5" max="5" width="12.25390625" style="0" customWidth="1"/>
    <col min="6" max="6" width="9.50390625" style="0" customWidth="1"/>
    <col min="7" max="7" width="11.625" style="0" customWidth="1"/>
    <col min="8" max="8" width="10.625" style="0" customWidth="1"/>
    <col min="9" max="9" width="12.875" style="0" customWidth="1"/>
    <col min="10" max="10" width="10.00390625" style="0" hidden="1" customWidth="1"/>
    <col min="11" max="11" width="10.625" style="0" customWidth="1"/>
    <col min="12" max="12" width="30.75390625" style="0" customWidth="1"/>
    <col min="13" max="13" width="13.125" style="0" hidden="1" customWidth="1"/>
    <col min="14" max="14" width="13.50390625" style="0" customWidth="1"/>
    <col min="15" max="15" width="9.50390625" style="0" hidden="1" customWidth="1"/>
    <col min="16" max="16" width="12.375" style="0" customWidth="1"/>
    <col min="17" max="17" width="9.125" style="0" bestFit="1" customWidth="1"/>
    <col min="18" max="18" width="11.625" style="0" customWidth="1"/>
    <col min="19" max="19" width="12.125" style="0" customWidth="1"/>
    <col min="20" max="20" width="11.75390625" style="0" customWidth="1"/>
    <col min="21" max="21" width="10.75390625" style="0" hidden="1" customWidth="1"/>
    <col min="22" max="22" width="10.625" style="0" customWidth="1"/>
  </cols>
  <sheetData>
    <row r="2" spans="1:22" s="1" customFormat="1" ht="20.25">
      <c r="A2" s="2" t="s">
        <v>78</v>
      </c>
      <c r="B2" s="2"/>
      <c r="C2" s="2"/>
      <c r="D2" s="2"/>
      <c r="E2" s="2"/>
      <c r="F2" s="2"/>
      <c r="G2" s="2"/>
      <c r="H2" s="2"/>
      <c r="I2" s="2"/>
      <c r="J2" s="2"/>
      <c r="K2" s="2"/>
      <c r="V2" s="15" t="s">
        <v>79</v>
      </c>
    </row>
    <row r="3" spans="11:22" s="1" customFormat="1" ht="13.5">
      <c r="K3" s="1" t="s">
        <v>6</v>
      </c>
      <c r="V3" s="1" t="s">
        <v>6</v>
      </c>
    </row>
    <row r="4" spans="1:22" s="1" customFormat="1" ht="14.25" customHeight="1">
      <c r="A4" s="3" t="s">
        <v>7</v>
      </c>
      <c r="B4" s="4" t="s">
        <v>8</v>
      </c>
      <c r="C4" s="4"/>
      <c r="D4" s="4"/>
      <c r="E4" s="4"/>
      <c r="F4" s="4"/>
      <c r="G4" s="4"/>
      <c r="H4" s="4"/>
      <c r="I4" s="4"/>
      <c r="J4" s="4"/>
      <c r="K4" s="4"/>
      <c r="L4" s="13" t="s">
        <v>9</v>
      </c>
      <c r="M4" s="4" t="s">
        <v>10</v>
      </c>
      <c r="N4" s="4"/>
      <c r="O4" s="4"/>
      <c r="P4" s="4"/>
      <c r="Q4" s="4"/>
      <c r="R4" s="4"/>
      <c r="S4" s="4"/>
      <c r="T4" s="4"/>
      <c r="U4" s="4"/>
      <c r="V4" s="4"/>
    </row>
    <row r="5" spans="1:22" s="1" customFormat="1" ht="14.25" customHeight="1">
      <c r="A5" s="3"/>
      <c r="B5" s="3" t="s">
        <v>11</v>
      </c>
      <c r="C5" s="3" t="s">
        <v>12</v>
      </c>
      <c r="D5" s="3" t="s">
        <v>13</v>
      </c>
      <c r="E5" s="3" t="s">
        <v>14</v>
      </c>
      <c r="F5" s="3" t="s">
        <v>15</v>
      </c>
      <c r="G5" s="3" t="s">
        <v>16</v>
      </c>
      <c r="H5" s="3" t="s">
        <v>17</v>
      </c>
      <c r="I5" s="3" t="s">
        <v>18</v>
      </c>
      <c r="J5" s="3" t="s">
        <v>13</v>
      </c>
      <c r="K5" s="3" t="s">
        <v>19</v>
      </c>
      <c r="L5" s="13"/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3" t="s">
        <v>16</v>
      </c>
      <c r="S5" s="3" t="s">
        <v>17</v>
      </c>
      <c r="T5" s="3" t="s">
        <v>18</v>
      </c>
      <c r="U5" s="3" t="s">
        <v>13</v>
      </c>
      <c r="V5" s="3" t="s">
        <v>19</v>
      </c>
    </row>
    <row r="6" spans="1:22" s="1" customFormat="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1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s="1" customFormat="1" ht="13.5">
      <c r="A7" s="5" t="s">
        <v>23</v>
      </c>
      <c r="B7" s="6">
        <v>623372.6</v>
      </c>
      <c r="C7" s="6">
        <v>986900</v>
      </c>
      <c r="D7" s="6">
        <f>(C7-B7)/B7*100</f>
        <v>58.31623013266866</v>
      </c>
      <c r="E7" s="7">
        <f>E8+E23</f>
        <v>985416.3999999999</v>
      </c>
      <c r="F7" s="6">
        <f>E7/C7*100</f>
        <v>99.84967068598641</v>
      </c>
      <c r="G7" s="6">
        <v>-6900</v>
      </c>
      <c r="H7" s="6"/>
      <c r="I7" s="6">
        <f>I8+I23</f>
        <v>980000</v>
      </c>
      <c r="J7" s="6">
        <f aca="true" t="shared" si="0" ref="J7:J39">(I7/B7-1)*100</f>
        <v>57.20934798866681</v>
      </c>
      <c r="K7" s="6">
        <f aca="true" t="shared" si="1" ref="K7:K39">(I7/C7-1)*100</f>
        <v>-0.6991589826730205</v>
      </c>
      <c r="L7" s="5" t="s">
        <v>24</v>
      </c>
      <c r="M7" s="6">
        <v>1138734.277882</v>
      </c>
      <c r="N7" s="6">
        <v>1836900</v>
      </c>
      <c r="O7" s="6">
        <f>(N7-M7)/M7*100</f>
        <v>61.31067938137071</v>
      </c>
      <c r="P7" s="6">
        <f>SUM(P8:P28)</f>
        <v>1624472.9112999998</v>
      </c>
      <c r="Q7" s="6">
        <f>P7/N7*100</f>
        <v>88.43556596984048</v>
      </c>
      <c r="R7" s="6">
        <f>SUM(R8:R28)</f>
        <v>152800</v>
      </c>
      <c r="S7" s="6">
        <f>T7-N7-R7</f>
        <v>69000</v>
      </c>
      <c r="T7" s="6">
        <f>SUM(T8:T28)</f>
        <v>2058700</v>
      </c>
      <c r="U7" s="6">
        <f aca="true" t="shared" si="2" ref="U7:U39">(T7/M7-1)*100</f>
        <v>80.78844555633289</v>
      </c>
      <c r="V7" s="6">
        <f aca="true" t="shared" si="3" ref="V7:V39">(T7/N7-1)*100</f>
        <v>12.074691055582765</v>
      </c>
    </row>
    <row r="8" spans="1:22" s="1" customFormat="1" ht="13.5">
      <c r="A8" s="8" t="s">
        <v>25</v>
      </c>
      <c r="B8" s="6">
        <v>542682.01</v>
      </c>
      <c r="C8" s="6">
        <v>794050</v>
      </c>
      <c r="D8" s="6">
        <f aca="true" t="shared" si="4" ref="D8:D25">(C8-B8)/B8*100</f>
        <v>46.31957304057306</v>
      </c>
      <c r="E8" s="7">
        <f>SUM(E9:E22)</f>
        <v>740675.1099999999</v>
      </c>
      <c r="F8" s="6">
        <f aca="true" t="shared" si="5" ref="F8:F27">E8/C8*100</f>
        <v>93.27814495308859</v>
      </c>
      <c r="G8" s="6">
        <v>-13050</v>
      </c>
      <c r="H8" s="6"/>
      <c r="I8" s="6">
        <f>SUM(I9:I22)</f>
        <v>781000</v>
      </c>
      <c r="J8" s="6">
        <f t="shared" si="0"/>
        <v>43.91484987681829</v>
      </c>
      <c r="K8" s="6">
        <f t="shared" si="1"/>
        <v>-1.6434733329135476</v>
      </c>
      <c r="L8" s="8" t="s">
        <v>26</v>
      </c>
      <c r="M8" s="6">
        <v>59693.543307000014</v>
      </c>
      <c r="N8" s="6">
        <v>66981.2</v>
      </c>
      <c r="O8" s="6">
        <f aca="true" t="shared" si="6" ref="O8:O39">(N8-M8)/M8*100</f>
        <v>12.208450511171765</v>
      </c>
      <c r="P8" s="6">
        <v>64897.17</v>
      </c>
      <c r="Q8" s="6">
        <f aca="true" t="shared" si="7" ref="Q8:Q28">P8/N8*100</f>
        <v>96.88863442279326</v>
      </c>
      <c r="R8" s="6"/>
      <c r="S8" s="6"/>
      <c r="T8" s="6">
        <f>N8+R8+S8</f>
        <v>66981.2</v>
      </c>
      <c r="U8" s="6">
        <f t="shared" si="2"/>
        <v>12.208450511171765</v>
      </c>
      <c r="V8" s="6">
        <f t="shared" si="3"/>
        <v>0</v>
      </c>
    </row>
    <row r="9" spans="1:22" s="1" customFormat="1" ht="15">
      <c r="A9" s="9" t="s">
        <v>27</v>
      </c>
      <c r="B9" s="6">
        <v>70170.38</v>
      </c>
      <c r="C9" s="6">
        <v>178070</v>
      </c>
      <c r="D9" s="6">
        <f t="shared" si="4"/>
        <v>153.76804286937022</v>
      </c>
      <c r="E9" s="7">
        <f>'全区'!E9-322348.9</f>
        <v>182937.86</v>
      </c>
      <c r="F9" s="6">
        <f t="shared" si="5"/>
        <v>102.73367776717019</v>
      </c>
      <c r="G9" s="6">
        <v>15090</v>
      </c>
      <c r="H9" s="6"/>
      <c r="I9" s="7">
        <f>'全区'!I9-351440-4000</f>
        <v>193160</v>
      </c>
      <c r="J9" s="6">
        <f t="shared" si="0"/>
        <v>175.27284304289074</v>
      </c>
      <c r="K9" s="6">
        <f t="shared" si="1"/>
        <v>8.474195541079354</v>
      </c>
      <c r="L9" s="10" t="s">
        <v>28</v>
      </c>
      <c r="M9" s="6">
        <v>1453.31</v>
      </c>
      <c r="N9" s="6">
        <v>1841</v>
      </c>
      <c r="O9" s="6">
        <f t="shared" si="6"/>
        <v>26.676345721146905</v>
      </c>
      <c r="P9" s="6">
        <v>1949.05</v>
      </c>
      <c r="Q9" s="6">
        <f t="shared" si="7"/>
        <v>105.86909288430199</v>
      </c>
      <c r="R9" s="6"/>
      <c r="S9" s="6"/>
      <c r="T9" s="6">
        <f aca="true" t="shared" si="8" ref="T9:T28">N9+R9+S9</f>
        <v>1841</v>
      </c>
      <c r="U9" s="6">
        <f t="shared" si="2"/>
        <v>26.676345721146898</v>
      </c>
      <c r="V9" s="6">
        <f t="shared" si="3"/>
        <v>0</v>
      </c>
    </row>
    <row r="10" spans="1:22" s="1" customFormat="1" ht="15">
      <c r="A10" s="9" t="s">
        <v>29</v>
      </c>
      <c r="B10" s="6">
        <v>67697.9</v>
      </c>
      <c r="C10" s="6">
        <v>0</v>
      </c>
      <c r="D10" s="6">
        <f t="shared" si="4"/>
        <v>-100</v>
      </c>
      <c r="E10" s="7">
        <f>'全区'!E10</f>
        <v>0</v>
      </c>
      <c r="F10" s="6"/>
      <c r="G10" s="6">
        <v>0</v>
      </c>
      <c r="H10" s="6"/>
      <c r="I10" s="7">
        <f>'全区'!I10</f>
        <v>0</v>
      </c>
      <c r="J10" s="6">
        <f t="shared" si="0"/>
        <v>-100</v>
      </c>
      <c r="K10" s="6"/>
      <c r="L10" s="8" t="s">
        <v>30</v>
      </c>
      <c r="M10" s="6">
        <v>85198.775478</v>
      </c>
      <c r="N10" s="6">
        <v>117782.22</v>
      </c>
      <c r="O10" s="6">
        <f t="shared" si="6"/>
        <v>38.24402914149123</v>
      </c>
      <c r="P10" s="6">
        <v>110690.23</v>
      </c>
      <c r="Q10" s="6">
        <f t="shared" si="7"/>
        <v>93.97872616087555</v>
      </c>
      <c r="R10" s="6">
        <v>16033</v>
      </c>
      <c r="S10" s="6"/>
      <c r="T10" s="6">
        <f t="shared" si="8"/>
        <v>133815.22</v>
      </c>
      <c r="U10" s="6">
        <f t="shared" si="2"/>
        <v>57.06237472222089</v>
      </c>
      <c r="V10" s="6">
        <f t="shared" si="3"/>
        <v>13.612411109248912</v>
      </c>
    </row>
    <row r="11" spans="1:22" s="1" customFormat="1" ht="15">
      <c r="A11" s="9" t="s">
        <v>31</v>
      </c>
      <c r="B11" s="6">
        <v>36755.8</v>
      </c>
      <c r="C11" s="6">
        <v>68760</v>
      </c>
      <c r="D11" s="6">
        <f t="shared" si="4"/>
        <v>87.07251644638396</v>
      </c>
      <c r="E11" s="7">
        <f>'全区'!E11-107261.51</f>
        <v>53014.37000000001</v>
      </c>
      <c r="F11" s="6">
        <f t="shared" si="5"/>
        <v>77.1005962769052</v>
      </c>
      <c r="G11" s="6">
        <v>-16480</v>
      </c>
      <c r="H11" s="6"/>
      <c r="I11" s="7">
        <f>'全区'!I11-112303+4400</f>
        <v>52280</v>
      </c>
      <c r="J11" s="6">
        <f t="shared" si="0"/>
        <v>42.236055262026674</v>
      </c>
      <c r="K11" s="6">
        <f t="shared" si="1"/>
        <v>-23.967422920302507</v>
      </c>
      <c r="L11" s="8" t="s">
        <v>32</v>
      </c>
      <c r="M11" s="6">
        <v>298719.40486</v>
      </c>
      <c r="N11" s="6">
        <v>374338.87</v>
      </c>
      <c r="O11" s="6">
        <f t="shared" si="6"/>
        <v>25.314547334291976</v>
      </c>
      <c r="P11" s="6">
        <v>305840.75</v>
      </c>
      <c r="Q11" s="6">
        <f t="shared" si="7"/>
        <v>81.70157429817534</v>
      </c>
      <c r="R11" s="6">
        <v>4813</v>
      </c>
      <c r="S11" s="6"/>
      <c r="T11" s="6">
        <f t="shared" si="8"/>
        <v>379151.87</v>
      </c>
      <c r="U11" s="6">
        <f t="shared" si="2"/>
        <v>26.925758364340634</v>
      </c>
      <c r="V11" s="6">
        <f t="shared" si="3"/>
        <v>1.2857334318501223</v>
      </c>
    </row>
    <row r="12" spans="1:22" s="1" customFormat="1" ht="15">
      <c r="A12" s="9" t="s">
        <v>33</v>
      </c>
      <c r="B12" s="6">
        <v>18446.13</v>
      </c>
      <c r="C12" s="6">
        <v>29450</v>
      </c>
      <c r="D12" s="6">
        <f t="shared" si="4"/>
        <v>59.654084623712386</v>
      </c>
      <c r="E12" s="7">
        <f>'全区'!E12-41674.76</f>
        <v>27239.489999999998</v>
      </c>
      <c r="F12" s="6">
        <f t="shared" si="5"/>
        <v>92.49402376910017</v>
      </c>
      <c r="G12" s="6">
        <v>-1773</v>
      </c>
      <c r="H12" s="6"/>
      <c r="I12" s="7">
        <f>'全区'!I12-44542</f>
        <v>27677</v>
      </c>
      <c r="J12" s="6">
        <f t="shared" si="0"/>
        <v>50.04231239831878</v>
      </c>
      <c r="K12" s="6">
        <f t="shared" si="1"/>
        <v>-6.020373514431244</v>
      </c>
      <c r="L12" s="8" t="s">
        <v>34</v>
      </c>
      <c r="M12" s="6">
        <v>46360.78362</v>
      </c>
      <c r="N12" s="6">
        <v>62669.36</v>
      </c>
      <c r="O12" s="6">
        <f t="shared" si="6"/>
        <v>35.177525284461524</v>
      </c>
      <c r="P12" s="6">
        <v>51476.54</v>
      </c>
      <c r="Q12" s="6">
        <f t="shared" si="7"/>
        <v>82.13988462623522</v>
      </c>
      <c r="R12" s="6"/>
      <c r="S12" s="6"/>
      <c r="T12" s="6">
        <f t="shared" si="8"/>
        <v>62669.36</v>
      </c>
      <c r="U12" s="6">
        <f t="shared" si="2"/>
        <v>35.17752528446152</v>
      </c>
      <c r="V12" s="6">
        <f t="shared" si="3"/>
        <v>0</v>
      </c>
    </row>
    <row r="13" spans="1:22" s="1" customFormat="1" ht="15">
      <c r="A13" s="9" t="s">
        <v>35</v>
      </c>
      <c r="B13" s="6">
        <v>14990.06</v>
      </c>
      <c r="C13" s="6">
        <v>19500</v>
      </c>
      <c r="D13" s="6">
        <f t="shared" si="4"/>
        <v>30.086203791045534</v>
      </c>
      <c r="E13" s="7">
        <f>'全区'!E13-32959.37</f>
        <v>17584.68</v>
      </c>
      <c r="F13" s="6">
        <f t="shared" si="5"/>
        <v>90.17784615384615</v>
      </c>
      <c r="G13" s="6">
        <v>-886</v>
      </c>
      <c r="H13" s="6"/>
      <c r="I13" s="7">
        <f>'全区'!I13-36174-400</f>
        <v>18614</v>
      </c>
      <c r="J13" s="6">
        <f t="shared" si="0"/>
        <v>24.175620377770347</v>
      </c>
      <c r="K13" s="6">
        <f t="shared" si="1"/>
        <v>-4.543589743589749</v>
      </c>
      <c r="L13" s="8" t="s">
        <v>36</v>
      </c>
      <c r="M13" s="6">
        <v>20271.188088</v>
      </c>
      <c r="N13" s="6">
        <v>36021.69</v>
      </c>
      <c r="O13" s="6">
        <f t="shared" si="6"/>
        <v>77.69895796746063</v>
      </c>
      <c r="P13" s="6">
        <v>31384.39</v>
      </c>
      <c r="Q13" s="6">
        <f t="shared" si="7"/>
        <v>87.12636747470759</v>
      </c>
      <c r="R13" s="6">
        <v>2184</v>
      </c>
      <c r="S13" s="6"/>
      <c r="T13" s="6">
        <f t="shared" si="8"/>
        <v>38205.69</v>
      </c>
      <c r="U13" s="6">
        <f t="shared" si="2"/>
        <v>88.47287013540537</v>
      </c>
      <c r="V13" s="6">
        <f t="shared" si="3"/>
        <v>6.063013700911868</v>
      </c>
    </row>
    <row r="14" spans="1:22" s="1" customFormat="1" ht="15">
      <c r="A14" s="9" t="s">
        <v>37</v>
      </c>
      <c r="B14" s="6">
        <v>23283.32</v>
      </c>
      <c r="C14" s="6">
        <v>38070</v>
      </c>
      <c r="D14" s="6">
        <f t="shared" si="4"/>
        <v>63.5076097395045</v>
      </c>
      <c r="E14" s="7">
        <f>'全区'!E14-43158.09</f>
        <v>21885.380000000005</v>
      </c>
      <c r="F14" s="6">
        <f t="shared" si="5"/>
        <v>57.48720777515105</v>
      </c>
      <c r="G14" s="6">
        <v>-13641</v>
      </c>
      <c r="H14" s="6"/>
      <c r="I14" s="7">
        <f>'全区'!I14-44100</f>
        <v>24429</v>
      </c>
      <c r="J14" s="6">
        <f t="shared" si="0"/>
        <v>4.920604106287252</v>
      </c>
      <c r="K14" s="6">
        <f t="shared" si="1"/>
        <v>-35.83136327817179</v>
      </c>
      <c r="L14" s="8" t="s">
        <v>38</v>
      </c>
      <c r="M14" s="6">
        <v>109834.937881</v>
      </c>
      <c r="N14" s="6">
        <v>255369.088</v>
      </c>
      <c r="O14" s="6">
        <f t="shared" si="6"/>
        <v>132.50260156442943</v>
      </c>
      <c r="P14" s="6">
        <v>241837.99</v>
      </c>
      <c r="Q14" s="6">
        <f t="shared" si="7"/>
        <v>94.70135633644115</v>
      </c>
      <c r="R14" s="6">
        <v>2880</v>
      </c>
      <c r="S14" s="6"/>
      <c r="T14" s="6">
        <f t="shared" si="8"/>
        <v>258249.088</v>
      </c>
      <c r="U14" s="6">
        <f t="shared" si="2"/>
        <v>135.12471803807853</v>
      </c>
      <c r="V14" s="6">
        <f t="shared" si="3"/>
        <v>1.1277794123617735</v>
      </c>
    </row>
    <row r="15" spans="1:22" s="1" customFormat="1" ht="15">
      <c r="A15" s="9" t="s">
        <v>39</v>
      </c>
      <c r="B15" s="6">
        <v>20533.57</v>
      </c>
      <c r="C15" s="6">
        <v>17950</v>
      </c>
      <c r="D15" s="6">
        <f t="shared" si="4"/>
        <v>-12.582176406732973</v>
      </c>
      <c r="E15" s="7">
        <f>'全区'!E15-34794.21</f>
        <v>24682.270000000004</v>
      </c>
      <c r="F15" s="6">
        <f t="shared" si="5"/>
        <v>137.5056824512535</v>
      </c>
      <c r="G15" s="6">
        <v>6506</v>
      </c>
      <c r="H15" s="6"/>
      <c r="I15" s="7">
        <f>'全区'!I15-37024</f>
        <v>24456</v>
      </c>
      <c r="J15" s="6">
        <f t="shared" si="0"/>
        <v>19.102523331305754</v>
      </c>
      <c r="K15" s="6">
        <f t="shared" si="1"/>
        <v>36.24512534818942</v>
      </c>
      <c r="L15" s="8" t="s">
        <v>40</v>
      </c>
      <c r="M15" s="6">
        <v>108265.581209</v>
      </c>
      <c r="N15" s="6">
        <v>135830.25</v>
      </c>
      <c r="O15" s="6">
        <f t="shared" si="6"/>
        <v>25.460232590252406</v>
      </c>
      <c r="P15" s="6">
        <v>126439.85</v>
      </c>
      <c r="Q15" s="6">
        <f t="shared" si="7"/>
        <v>93.08666515742996</v>
      </c>
      <c r="R15" s="6">
        <v>26000</v>
      </c>
      <c r="S15" s="6"/>
      <c r="T15" s="6">
        <f t="shared" si="8"/>
        <v>161830.25</v>
      </c>
      <c r="U15" s="6">
        <f t="shared" si="2"/>
        <v>49.475251684648256</v>
      </c>
      <c r="V15" s="6">
        <f t="shared" si="3"/>
        <v>19.141538795665912</v>
      </c>
    </row>
    <row r="16" spans="1:22" s="1" customFormat="1" ht="15">
      <c r="A16" s="9" t="s">
        <v>41</v>
      </c>
      <c r="B16" s="6">
        <v>3851.25</v>
      </c>
      <c r="C16" s="6">
        <v>4300</v>
      </c>
      <c r="D16" s="6">
        <f t="shared" si="4"/>
        <v>11.652061019149627</v>
      </c>
      <c r="E16" s="7">
        <f>'全区'!E16-4277.07</f>
        <v>3127.1800000000003</v>
      </c>
      <c r="F16" s="6">
        <f t="shared" si="5"/>
        <v>72.72511627906978</v>
      </c>
      <c r="G16" s="6">
        <v>-1221</v>
      </c>
      <c r="H16" s="6"/>
      <c r="I16" s="7">
        <f>'全区'!I16-4439</f>
        <v>3079</v>
      </c>
      <c r="J16" s="6">
        <f t="shared" si="0"/>
        <v>-20.0519311911717</v>
      </c>
      <c r="K16" s="6">
        <f t="shared" si="1"/>
        <v>-28.3953488372093</v>
      </c>
      <c r="L16" s="8" t="s">
        <v>42</v>
      </c>
      <c r="M16" s="6">
        <v>4874.06855</v>
      </c>
      <c r="N16" s="6">
        <v>4666.09</v>
      </c>
      <c r="O16" s="6">
        <f t="shared" si="6"/>
        <v>-4.267041956149751</v>
      </c>
      <c r="P16" s="6">
        <v>3729.22</v>
      </c>
      <c r="Q16" s="6">
        <f t="shared" si="7"/>
        <v>79.92173318560079</v>
      </c>
      <c r="R16" s="6"/>
      <c r="S16" s="6"/>
      <c r="T16" s="6">
        <f t="shared" si="8"/>
        <v>4666.09</v>
      </c>
      <c r="U16" s="6">
        <f t="shared" si="2"/>
        <v>-4.267041956149753</v>
      </c>
      <c r="V16" s="6">
        <f t="shared" si="3"/>
        <v>0</v>
      </c>
    </row>
    <row r="17" spans="1:22" s="1" customFormat="1" ht="15">
      <c r="A17" s="9" t="s">
        <v>43</v>
      </c>
      <c r="B17" s="6">
        <v>152183.72</v>
      </c>
      <c r="C17" s="6">
        <v>249200</v>
      </c>
      <c r="D17" s="6">
        <f t="shared" si="4"/>
        <v>63.749447049920974</v>
      </c>
      <c r="E17" s="7">
        <f>'全区'!E17</f>
        <v>211383.96</v>
      </c>
      <c r="F17" s="6">
        <f t="shared" si="5"/>
        <v>84.82502407704654</v>
      </c>
      <c r="G17" s="6">
        <v>-23495</v>
      </c>
      <c r="H17" s="6"/>
      <c r="I17" s="7">
        <f>'全区'!I17</f>
        <v>225705</v>
      </c>
      <c r="J17" s="6">
        <f t="shared" si="0"/>
        <v>48.31087057143826</v>
      </c>
      <c r="K17" s="6">
        <f t="shared" si="1"/>
        <v>-9.428170144462278</v>
      </c>
      <c r="L17" s="8" t="s">
        <v>44</v>
      </c>
      <c r="M17" s="6">
        <v>94380.10397400006</v>
      </c>
      <c r="N17" s="6">
        <v>149379.01</v>
      </c>
      <c r="O17" s="6">
        <f t="shared" si="6"/>
        <v>58.27383496118114</v>
      </c>
      <c r="P17" s="6">
        <v>207550.65</v>
      </c>
      <c r="Q17" s="6">
        <f t="shared" si="7"/>
        <v>138.9423119084803</v>
      </c>
      <c r="R17" s="6">
        <f>50000+30135</f>
        <v>80135</v>
      </c>
      <c r="S17" s="6"/>
      <c r="T17" s="6">
        <f t="shared" si="8"/>
        <v>229514.01</v>
      </c>
      <c r="U17" s="6">
        <f t="shared" si="2"/>
        <v>143.1805013302664</v>
      </c>
      <c r="V17" s="6">
        <f t="shared" si="3"/>
        <v>53.645421803237284</v>
      </c>
    </row>
    <row r="18" spans="1:22" s="1" customFormat="1" ht="15">
      <c r="A18" s="9" t="s">
        <v>45</v>
      </c>
      <c r="B18" s="6">
        <v>7768.03</v>
      </c>
      <c r="C18" s="6">
        <v>10100</v>
      </c>
      <c r="D18" s="6">
        <f t="shared" si="4"/>
        <v>30.0200951850083</v>
      </c>
      <c r="E18" s="7">
        <f>'全区'!E18</f>
        <v>10092</v>
      </c>
      <c r="F18" s="6">
        <f t="shared" si="5"/>
        <v>99.92079207920793</v>
      </c>
      <c r="G18" s="6">
        <v>0</v>
      </c>
      <c r="H18" s="6"/>
      <c r="I18" s="7">
        <f>'全区'!I18</f>
        <v>10100</v>
      </c>
      <c r="J18" s="6">
        <f t="shared" si="0"/>
        <v>30.0200951850083</v>
      </c>
      <c r="K18" s="6">
        <f t="shared" si="1"/>
        <v>0</v>
      </c>
      <c r="L18" s="8" t="s">
        <v>46</v>
      </c>
      <c r="M18" s="6">
        <v>31629.773099999984</v>
      </c>
      <c r="N18" s="6">
        <v>127211.46</v>
      </c>
      <c r="O18" s="6">
        <f t="shared" si="6"/>
        <v>302.18897428638235</v>
      </c>
      <c r="P18" s="6">
        <v>126502.04</v>
      </c>
      <c r="Q18" s="6">
        <f t="shared" si="7"/>
        <v>99.44233011711366</v>
      </c>
      <c r="R18" s="6">
        <v>3772</v>
      </c>
      <c r="S18" s="6"/>
      <c r="T18" s="6">
        <f t="shared" si="8"/>
        <v>130983.46</v>
      </c>
      <c r="U18" s="6">
        <f t="shared" si="2"/>
        <v>314.1144471251363</v>
      </c>
      <c r="V18" s="6">
        <f t="shared" si="3"/>
        <v>2.9651416625514626</v>
      </c>
    </row>
    <row r="19" spans="1:22" s="1" customFormat="1" ht="15">
      <c r="A19" s="9" t="s">
        <v>47</v>
      </c>
      <c r="B19" s="6">
        <v>5477.86</v>
      </c>
      <c r="C19" s="6">
        <v>2000</v>
      </c>
      <c r="D19" s="6">
        <f t="shared" si="4"/>
        <v>-63.489391842799925</v>
      </c>
      <c r="E19" s="7">
        <f>'全区'!E19</f>
        <v>1559.72</v>
      </c>
      <c r="F19" s="6">
        <f t="shared" si="5"/>
        <v>77.986</v>
      </c>
      <c r="G19" s="6">
        <v>-568</v>
      </c>
      <c r="H19" s="6"/>
      <c r="I19" s="7">
        <f>'全区'!I19</f>
        <v>1432</v>
      </c>
      <c r="J19" s="6">
        <f t="shared" si="0"/>
        <v>-73.85840455944475</v>
      </c>
      <c r="K19" s="6">
        <f t="shared" si="1"/>
        <v>-28.400000000000002</v>
      </c>
      <c r="L19" s="8" t="s">
        <v>48</v>
      </c>
      <c r="M19" s="6">
        <v>25711.754001</v>
      </c>
      <c r="N19" s="6">
        <v>42532.36</v>
      </c>
      <c r="O19" s="6">
        <f t="shared" si="6"/>
        <v>65.41990872480267</v>
      </c>
      <c r="P19" s="6">
        <v>39968.69</v>
      </c>
      <c r="Q19" s="6">
        <f t="shared" si="7"/>
        <v>93.97242476081742</v>
      </c>
      <c r="R19" s="6"/>
      <c r="S19" s="6"/>
      <c r="T19" s="6">
        <f t="shared" si="8"/>
        <v>42532.36</v>
      </c>
      <c r="U19" s="6">
        <f t="shared" si="2"/>
        <v>65.41990872480268</v>
      </c>
      <c r="V19" s="6">
        <f t="shared" si="3"/>
        <v>0</v>
      </c>
    </row>
    <row r="20" spans="1:22" s="1" customFormat="1" ht="15">
      <c r="A20" s="9" t="s">
        <v>49</v>
      </c>
      <c r="B20" s="6">
        <v>121523.99</v>
      </c>
      <c r="C20" s="6">
        <v>175800</v>
      </c>
      <c r="D20" s="6">
        <f t="shared" si="4"/>
        <v>44.66279456426669</v>
      </c>
      <c r="E20" s="7">
        <f>'全区'!E20</f>
        <v>186742.93</v>
      </c>
      <c r="F20" s="6">
        <f t="shared" si="5"/>
        <v>106.22464732650738</v>
      </c>
      <c r="G20" s="6">
        <v>23844</v>
      </c>
      <c r="H20" s="6"/>
      <c r="I20" s="7">
        <f>'全区'!I20</f>
        <v>199644</v>
      </c>
      <c r="J20" s="6">
        <f t="shared" si="0"/>
        <v>64.28361182018463</v>
      </c>
      <c r="K20" s="6">
        <f t="shared" si="1"/>
        <v>13.563139931740608</v>
      </c>
      <c r="L20" s="8" t="s">
        <v>50</v>
      </c>
      <c r="M20" s="6">
        <v>94158.80811499996</v>
      </c>
      <c r="N20" s="6">
        <v>128351.61</v>
      </c>
      <c r="O20" s="6">
        <f t="shared" si="6"/>
        <v>36.313970588114266</v>
      </c>
      <c r="P20" s="6">
        <v>136021.31</v>
      </c>
      <c r="Q20" s="6">
        <f t="shared" si="7"/>
        <v>105.9755386005676</v>
      </c>
      <c r="R20" s="6">
        <v>11700</v>
      </c>
      <c r="S20" s="6"/>
      <c r="T20" s="6">
        <f t="shared" si="8"/>
        <v>140051.61</v>
      </c>
      <c r="U20" s="6">
        <f t="shared" si="2"/>
        <v>48.73978632880451</v>
      </c>
      <c r="V20" s="6">
        <f t="shared" si="3"/>
        <v>9.11558491553006</v>
      </c>
    </row>
    <row r="21" spans="1:22" s="1" customFormat="1" ht="15">
      <c r="A21" s="9" t="s">
        <v>51</v>
      </c>
      <c r="B21" s="6">
        <v>80690.59</v>
      </c>
      <c r="C21" s="6">
        <v>850</v>
      </c>
      <c r="D21" s="6">
        <f t="shared" si="4"/>
        <v>-98.94659340079184</v>
      </c>
      <c r="E21" s="7">
        <f>'全区'!E21</f>
        <v>852.39</v>
      </c>
      <c r="F21" s="6">
        <f t="shared" si="5"/>
        <v>100.28117647058824</v>
      </c>
      <c r="G21" s="6">
        <v>10</v>
      </c>
      <c r="H21" s="6"/>
      <c r="I21" s="7">
        <f>'全区'!I21</f>
        <v>860</v>
      </c>
      <c r="J21" s="6">
        <f t="shared" si="0"/>
        <v>-98.93420038197762</v>
      </c>
      <c r="K21" s="6">
        <f t="shared" si="1"/>
        <v>1.17647058823529</v>
      </c>
      <c r="L21" s="8" t="s">
        <v>52</v>
      </c>
      <c r="M21" s="6">
        <v>20704.133391000003</v>
      </c>
      <c r="N21" s="6">
        <v>540</v>
      </c>
      <c r="O21" s="6">
        <f t="shared" si="6"/>
        <v>-97.3918251500701</v>
      </c>
      <c r="P21" s="6">
        <v>256.4</v>
      </c>
      <c r="Q21" s="6">
        <f t="shared" si="7"/>
        <v>47.481481481481474</v>
      </c>
      <c r="R21" s="6"/>
      <c r="S21" s="6"/>
      <c r="T21" s="6">
        <f t="shared" si="8"/>
        <v>540</v>
      </c>
      <c r="U21" s="6">
        <f t="shared" si="2"/>
        <v>-97.3918251500701</v>
      </c>
      <c r="V21" s="6">
        <f t="shared" si="3"/>
        <v>0</v>
      </c>
    </row>
    <row r="22" spans="1:22" s="1" customFormat="1" ht="15">
      <c r="A22" s="9" t="s">
        <v>53</v>
      </c>
      <c r="B22" s="6"/>
      <c r="C22" s="6"/>
      <c r="D22" s="6"/>
      <c r="E22" s="7">
        <f>'全区'!E22+22.27</f>
        <v>-427.12</v>
      </c>
      <c r="F22" s="6"/>
      <c r="G22" s="6">
        <v>-436</v>
      </c>
      <c r="H22" s="6"/>
      <c r="I22" s="7">
        <f>'全区'!I22+22</f>
        <v>-436</v>
      </c>
      <c r="J22" s="6"/>
      <c r="K22" s="6"/>
      <c r="L22" s="8" t="s">
        <v>54</v>
      </c>
      <c r="M22" s="6"/>
      <c r="N22" s="6">
        <v>1065.51</v>
      </c>
      <c r="O22" s="6"/>
      <c r="P22" s="6">
        <v>837.93</v>
      </c>
      <c r="Q22" s="6">
        <f t="shared" si="7"/>
        <v>78.64121406650337</v>
      </c>
      <c r="R22" s="6"/>
      <c r="S22" s="6"/>
      <c r="T22" s="6">
        <f t="shared" si="8"/>
        <v>1065.51</v>
      </c>
      <c r="U22" s="6"/>
      <c r="V22" s="6">
        <f t="shared" si="3"/>
        <v>0</v>
      </c>
    </row>
    <row r="23" spans="1:22" s="1" customFormat="1" ht="13.5">
      <c r="A23" s="8" t="s">
        <v>55</v>
      </c>
      <c r="B23" s="6">
        <v>632.43</v>
      </c>
      <c r="C23" s="6">
        <v>192850</v>
      </c>
      <c r="D23" s="6">
        <f t="shared" si="4"/>
        <v>30393.493351042805</v>
      </c>
      <c r="E23" s="7">
        <f>'全区'!E23</f>
        <v>244741.29</v>
      </c>
      <c r="F23" s="6">
        <f t="shared" si="5"/>
        <v>126.90759139227379</v>
      </c>
      <c r="G23" s="6">
        <v>6150</v>
      </c>
      <c r="H23" s="6"/>
      <c r="I23" s="6">
        <f>SUM(I24:I27)</f>
        <v>199000</v>
      </c>
      <c r="J23" s="6">
        <f t="shared" si="0"/>
        <v>31365.932988631153</v>
      </c>
      <c r="K23" s="6">
        <f t="shared" si="1"/>
        <v>3.1890070002592585</v>
      </c>
      <c r="L23" s="8" t="s">
        <v>56</v>
      </c>
      <c r="M23" s="6">
        <v>1377.18</v>
      </c>
      <c r="N23" s="6">
        <v>104339.22</v>
      </c>
      <c r="O23" s="6">
        <f t="shared" si="6"/>
        <v>7476.295037685706</v>
      </c>
      <c r="P23" s="6">
        <v>52500.95</v>
      </c>
      <c r="Q23" s="6">
        <f t="shared" si="7"/>
        <v>50.31756035745715</v>
      </c>
      <c r="R23" s="6">
        <v>-40000</v>
      </c>
      <c r="S23" s="6"/>
      <c r="T23" s="6">
        <f t="shared" si="8"/>
        <v>64339.22</v>
      </c>
      <c r="U23" s="6">
        <f t="shared" si="2"/>
        <v>4571.809059091767</v>
      </c>
      <c r="V23" s="6">
        <f t="shared" si="3"/>
        <v>-38.33649513576965</v>
      </c>
    </row>
    <row r="24" spans="1:22" s="1" customFormat="1" ht="15">
      <c r="A24" s="9" t="s">
        <v>57</v>
      </c>
      <c r="B24" s="6">
        <v>16989.72</v>
      </c>
      <c r="C24" s="6">
        <v>105000</v>
      </c>
      <c r="D24" s="6">
        <f t="shared" si="4"/>
        <v>518.0207796243847</v>
      </c>
      <c r="E24" s="7">
        <f>'全区'!E24</f>
        <v>167881.26</v>
      </c>
      <c r="F24" s="6">
        <f t="shared" si="5"/>
        <v>159.88691428571428</v>
      </c>
      <c r="G24" s="6">
        <v>9000</v>
      </c>
      <c r="H24" s="6"/>
      <c r="I24" s="6">
        <f>'全区'!I24</f>
        <v>114000</v>
      </c>
      <c r="J24" s="6">
        <f t="shared" si="0"/>
        <v>570.9939893064746</v>
      </c>
      <c r="K24" s="6">
        <f t="shared" si="1"/>
        <v>8.571428571428562</v>
      </c>
      <c r="L24" s="8" t="s">
        <v>58</v>
      </c>
      <c r="M24" s="6">
        <v>64734.756461000004</v>
      </c>
      <c r="N24" s="6">
        <v>5458.79</v>
      </c>
      <c r="O24" s="6">
        <f t="shared" si="6"/>
        <v>-91.56745109053018</v>
      </c>
      <c r="P24" s="6">
        <v>6474.53</v>
      </c>
      <c r="Q24" s="6">
        <f t="shared" si="7"/>
        <v>118.60742032574984</v>
      </c>
      <c r="R24" s="6"/>
      <c r="S24" s="6"/>
      <c r="T24" s="6">
        <f t="shared" si="8"/>
        <v>5458.79</v>
      </c>
      <c r="U24" s="6">
        <f t="shared" si="2"/>
        <v>-91.56745109053018</v>
      </c>
      <c r="V24" s="6">
        <f t="shared" si="3"/>
        <v>0</v>
      </c>
    </row>
    <row r="25" spans="1:22" s="1" customFormat="1" ht="15">
      <c r="A25" s="9" t="s">
        <v>59</v>
      </c>
      <c r="B25" s="6">
        <v>63068.44</v>
      </c>
      <c r="C25" s="6">
        <v>22000</v>
      </c>
      <c r="D25" s="6">
        <f t="shared" si="4"/>
        <v>-65.11725991637022</v>
      </c>
      <c r="E25" s="7">
        <f>'全区'!E25</f>
        <v>21139.8</v>
      </c>
      <c r="F25" s="6">
        <f t="shared" si="5"/>
        <v>96.09</v>
      </c>
      <c r="G25" s="6">
        <v>0</v>
      </c>
      <c r="H25" s="6"/>
      <c r="I25" s="6">
        <f>'全区'!I25</f>
        <v>22000</v>
      </c>
      <c r="J25" s="6">
        <f t="shared" si="0"/>
        <v>-65.11725991637022</v>
      </c>
      <c r="K25" s="6">
        <f t="shared" si="1"/>
        <v>0</v>
      </c>
      <c r="L25" s="8" t="s">
        <v>60</v>
      </c>
      <c r="M25" s="6">
        <v>3050.11</v>
      </c>
      <c r="N25" s="6">
        <v>7390.02</v>
      </c>
      <c r="O25" s="6">
        <f t="shared" si="6"/>
        <v>142.28699948526446</v>
      </c>
      <c r="P25" s="6">
        <v>7534</v>
      </c>
      <c r="Q25" s="6">
        <f t="shared" si="7"/>
        <v>101.94830325222395</v>
      </c>
      <c r="R25" s="6">
        <v>2183</v>
      </c>
      <c r="S25" s="6"/>
      <c r="T25" s="6">
        <f t="shared" si="8"/>
        <v>9573.02</v>
      </c>
      <c r="U25" s="6">
        <f t="shared" si="2"/>
        <v>213.85818872106253</v>
      </c>
      <c r="V25" s="6">
        <f t="shared" si="3"/>
        <v>29.53983886376492</v>
      </c>
    </row>
    <row r="26" spans="1:22" s="1" customFormat="1" ht="15">
      <c r="A26" s="9" t="s">
        <v>61</v>
      </c>
      <c r="B26" s="6"/>
      <c r="C26" s="6">
        <v>15000</v>
      </c>
      <c r="D26" s="6"/>
      <c r="E26" s="7">
        <f>'全区'!E26</f>
        <v>22491.64</v>
      </c>
      <c r="F26" s="6">
        <f t="shared" si="5"/>
        <v>149.94426666666666</v>
      </c>
      <c r="G26" s="6">
        <v>12000</v>
      </c>
      <c r="H26" s="6"/>
      <c r="I26" s="6">
        <f>'全区'!I26</f>
        <v>27000</v>
      </c>
      <c r="J26" s="6"/>
      <c r="K26" s="6">
        <f t="shared" si="1"/>
        <v>80</v>
      </c>
      <c r="L26" s="8" t="s">
        <v>62</v>
      </c>
      <c r="M26" s="6"/>
      <c r="N26" s="6">
        <v>55000</v>
      </c>
      <c r="O26" s="6"/>
      <c r="P26" s="6"/>
      <c r="Q26" s="6">
        <f t="shared" si="7"/>
        <v>0</v>
      </c>
      <c r="R26" s="6"/>
      <c r="S26" s="6"/>
      <c r="T26" s="6">
        <f t="shared" si="8"/>
        <v>55000</v>
      </c>
      <c r="U26" s="6"/>
      <c r="V26" s="6">
        <f t="shared" si="3"/>
        <v>0</v>
      </c>
    </row>
    <row r="27" spans="1:22" s="1" customFormat="1" ht="15">
      <c r="A27" s="9" t="s">
        <v>63</v>
      </c>
      <c r="B27" s="6"/>
      <c r="C27" s="6">
        <v>50850</v>
      </c>
      <c r="D27" s="6"/>
      <c r="E27" s="7">
        <f>'全区'!E27</f>
        <v>33228.59</v>
      </c>
      <c r="F27" s="6">
        <f t="shared" si="5"/>
        <v>65.34629301868239</v>
      </c>
      <c r="G27" s="6">
        <v>-14850</v>
      </c>
      <c r="H27" s="6"/>
      <c r="I27" s="6">
        <f>'全区'!I27</f>
        <v>36000</v>
      </c>
      <c r="J27" s="6"/>
      <c r="K27" s="6">
        <f t="shared" si="1"/>
        <v>-29.20353982300885</v>
      </c>
      <c r="L27" s="14" t="s">
        <v>64</v>
      </c>
      <c r="M27" s="6">
        <v>0</v>
      </c>
      <c r="N27" s="6">
        <v>136890.25199999998</v>
      </c>
      <c r="O27" s="6"/>
      <c r="P27" s="6">
        <v>84065.83</v>
      </c>
      <c r="Q27" s="6">
        <f t="shared" si="7"/>
        <v>61.411114941917134</v>
      </c>
      <c r="R27" s="6">
        <v>43100</v>
      </c>
      <c r="S27" s="6">
        <v>69000</v>
      </c>
      <c r="T27" s="6">
        <f t="shared" si="8"/>
        <v>248990.25199999998</v>
      </c>
      <c r="U27" s="6"/>
      <c r="V27" s="6">
        <f t="shared" si="3"/>
        <v>81.89041831846436</v>
      </c>
    </row>
    <row r="28" spans="1:22" s="1" customFormat="1" ht="13.5">
      <c r="A28" s="8"/>
      <c r="B28" s="6"/>
      <c r="C28" s="6"/>
      <c r="D28" s="6"/>
      <c r="E28" s="6"/>
      <c r="F28" s="6"/>
      <c r="G28" s="6"/>
      <c r="H28" s="6"/>
      <c r="I28" s="6"/>
      <c r="J28" s="6"/>
      <c r="K28" s="6"/>
      <c r="L28" s="8" t="s">
        <v>65</v>
      </c>
      <c r="M28" s="6">
        <v>68316.06584699999</v>
      </c>
      <c r="N28" s="6">
        <v>23242</v>
      </c>
      <c r="O28" s="6">
        <f t="shared" si="6"/>
        <v>-65.97872006849376</v>
      </c>
      <c r="P28" s="6">
        <v>24515.3913</v>
      </c>
      <c r="Q28" s="6">
        <f t="shared" si="7"/>
        <v>105.47883701918938</v>
      </c>
      <c r="R28" s="6"/>
      <c r="S28" s="6"/>
      <c r="T28" s="6">
        <f t="shared" si="8"/>
        <v>23242</v>
      </c>
      <c r="U28" s="6">
        <f t="shared" si="2"/>
        <v>-65.97872006849376</v>
      </c>
      <c r="V28" s="6">
        <f t="shared" si="3"/>
        <v>0</v>
      </c>
    </row>
    <row r="29" spans="1:22" s="1" customFormat="1" ht="13.5">
      <c r="A29" s="10"/>
      <c r="B29" s="6"/>
      <c r="C29" s="6"/>
      <c r="D29" s="6"/>
      <c r="E29" s="6"/>
      <c r="F29" s="6"/>
      <c r="G29" s="6"/>
      <c r="H29" s="6"/>
      <c r="I29" s="6"/>
      <c r="J29" s="6"/>
      <c r="K29" s="6"/>
      <c r="L29" s="10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s="1" customFormat="1" ht="13.5">
      <c r="A30" s="5" t="s">
        <v>66</v>
      </c>
      <c r="B30" s="6">
        <f>'全区'!B29</f>
        <v>729312.85</v>
      </c>
      <c r="C30" s="6">
        <v>950000</v>
      </c>
      <c r="D30" s="6">
        <f>(C30-B30)/B30*100</f>
        <v>30.25959984113814</v>
      </c>
      <c r="E30" s="6">
        <f>'全区'!E30</f>
        <v>1006689.72</v>
      </c>
      <c r="F30" s="6"/>
      <c r="G30" s="6">
        <v>83700</v>
      </c>
      <c r="H30" s="6"/>
      <c r="I30" s="6">
        <f>'全区'!I30</f>
        <v>1033700</v>
      </c>
      <c r="J30" s="6">
        <f t="shared" si="0"/>
        <v>41.73615616398367</v>
      </c>
      <c r="K30" s="6">
        <f t="shared" si="1"/>
        <v>8.810526315789469</v>
      </c>
      <c r="L30" s="5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s="1" customFormat="1" ht="13.5">
      <c r="A31" s="5" t="s">
        <v>80</v>
      </c>
      <c r="B31" s="6"/>
      <c r="C31" s="6">
        <v>-100000</v>
      </c>
      <c r="D31" s="6"/>
      <c r="E31" s="7">
        <v>-103450.53</v>
      </c>
      <c r="F31" s="6"/>
      <c r="G31" s="6">
        <v>-50000</v>
      </c>
      <c r="H31" s="6"/>
      <c r="I31" s="6">
        <v>-150000</v>
      </c>
      <c r="J31" s="6"/>
      <c r="K31" s="6">
        <f t="shared" si="1"/>
        <v>50</v>
      </c>
      <c r="L31" s="11" t="s">
        <v>68</v>
      </c>
      <c r="M31" s="6"/>
      <c r="N31" s="6"/>
      <c r="O31" s="6"/>
      <c r="P31" s="6">
        <f>'全区'!P31</f>
        <v>64549</v>
      </c>
      <c r="Q31" s="6"/>
      <c r="R31" s="6">
        <v>64000</v>
      </c>
      <c r="S31" s="6"/>
      <c r="T31" s="6">
        <f>'全区'!T31</f>
        <v>64000</v>
      </c>
      <c r="U31" s="6"/>
      <c r="V31" s="6"/>
    </row>
    <row r="32" spans="1:22" s="1" customFormat="1" ht="13.5">
      <c r="A32" s="5" t="s">
        <v>81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5" t="s">
        <v>70</v>
      </c>
      <c r="M32" s="6"/>
      <c r="N32" s="6"/>
      <c r="O32" s="6"/>
      <c r="P32" s="6"/>
      <c r="Q32" s="6"/>
      <c r="R32" s="6"/>
      <c r="S32" s="6"/>
      <c r="T32" s="7"/>
      <c r="U32" s="6"/>
      <c r="V32" s="6"/>
    </row>
    <row r="33" spans="1:22" s="1" customFormat="1" ht="13.5">
      <c r="A33" s="11" t="s">
        <v>82</v>
      </c>
      <c r="B33" s="6"/>
      <c r="C33" s="6"/>
      <c r="D33" s="6"/>
      <c r="E33" s="6">
        <f>'全区'!E32</f>
        <v>140000</v>
      </c>
      <c r="F33" s="6"/>
      <c r="G33" s="6">
        <v>140000</v>
      </c>
      <c r="H33" s="6"/>
      <c r="I33" s="6">
        <f>'全区'!I32</f>
        <v>140000</v>
      </c>
      <c r="J33" s="6"/>
      <c r="K33" s="6"/>
      <c r="L33" s="5" t="s">
        <v>72</v>
      </c>
      <c r="M33" s="6">
        <f>'全区'!M31</f>
        <v>7254.6</v>
      </c>
      <c r="N33" s="6"/>
      <c r="O33" s="10"/>
      <c r="P33" s="10"/>
      <c r="Q33" s="10"/>
      <c r="R33" s="10"/>
      <c r="S33" s="6"/>
      <c r="T33" s="7"/>
      <c r="U33" s="10"/>
      <c r="V33" s="10"/>
    </row>
    <row r="34" spans="1:22" s="1" customFormat="1" ht="13.5">
      <c r="A34" s="5" t="s">
        <v>83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5" t="s">
        <v>74</v>
      </c>
      <c r="M34" s="10"/>
      <c r="N34" s="10"/>
      <c r="O34" s="10"/>
      <c r="P34" s="10"/>
      <c r="Q34" s="10"/>
      <c r="R34" s="10"/>
      <c r="S34" s="6"/>
      <c r="T34" s="7"/>
      <c r="U34" s="10"/>
      <c r="V34" s="10"/>
    </row>
    <row r="35" spans="1:22" s="1" customFormat="1" ht="13.5">
      <c r="A35" s="5" t="s">
        <v>84</v>
      </c>
      <c r="B35" s="6"/>
      <c r="C35" s="6"/>
      <c r="D35" s="6"/>
      <c r="E35" s="6"/>
      <c r="F35" s="6"/>
      <c r="G35" s="6">
        <v>50000</v>
      </c>
      <c r="H35" s="6">
        <v>69000</v>
      </c>
      <c r="I35" s="6">
        <f>'全区'!I34</f>
        <v>119000</v>
      </c>
      <c r="J35" s="6"/>
      <c r="K35" s="6"/>
      <c r="L35" s="5" t="s">
        <v>76</v>
      </c>
      <c r="M35" s="10"/>
      <c r="N35" s="10"/>
      <c r="O35" s="10"/>
      <c r="P35" s="10"/>
      <c r="Q35" s="10"/>
      <c r="R35" s="10"/>
      <c r="S35" s="6"/>
      <c r="T35" s="7"/>
      <c r="U35" s="10"/>
      <c r="V35" s="10"/>
    </row>
    <row r="36" spans="1:22" s="1" customFormat="1" ht="13.5">
      <c r="A36" s="5" t="s">
        <v>85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10"/>
      <c r="M36" s="6"/>
      <c r="N36" s="6"/>
      <c r="O36" s="6"/>
      <c r="P36" s="6"/>
      <c r="Q36" s="6"/>
      <c r="R36" s="6"/>
      <c r="S36" s="6"/>
      <c r="T36" s="7"/>
      <c r="U36" s="6"/>
      <c r="V36" s="6"/>
    </row>
    <row r="37" spans="1:22" s="1" customFormat="1" ht="13.5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10"/>
      <c r="M37" s="6"/>
      <c r="N37" s="6"/>
      <c r="O37" s="6"/>
      <c r="P37" s="6"/>
      <c r="Q37" s="6"/>
      <c r="R37" s="6"/>
      <c r="S37" s="6"/>
      <c r="T37" s="7"/>
      <c r="U37" s="6"/>
      <c r="V37" s="6"/>
    </row>
    <row r="38" spans="1:22" s="1" customFormat="1" ht="13.5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5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s="1" customFormat="1" ht="13.5">
      <c r="A39" s="4" t="s">
        <v>77</v>
      </c>
      <c r="B39" s="6">
        <f>B7+B30+B32+B33+B34+B35+B36</f>
        <v>1352685.45</v>
      </c>
      <c r="C39" s="6">
        <f>C7+C30+C31+C32+C33+C34+C35+C36</f>
        <v>1836900</v>
      </c>
      <c r="D39" s="6">
        <f>D7+D30+D31+D32+D33+D34+D35+D36</f>
        <v>88.5758299738068</v>
      </c>
      <c r="E39" s="6">
        <f>E7+E30+E31+E33</f>
        <v>2028655.5899999999</v>
      </c>
      <c r="F39" s="6">
        <f>E39/C39*100</f>
        <v>110.43908704883228</v>
      </c>
      <c r="G39" s="6">
        <f>G7+G30+G31+G33+G35</f>
        <v>216800</v>
      </c>
      <c r="H39" s="6">
        <f>I39-C39-G39</f>
        <v>69000</v>
      </c>
      <c r="I39" s="6">
        <f>I7+I30+I31+I32+I33+I34+I35+I36</f>
        <v>2122700</v>
      </c>
      <c r="J39" s="6">
        <f t="shared" si="0"/>
        <v>56.92487858134352</v>
      </c>
      <c r="K39" s="6">
        <f t="shared" si="1"/>
        <v>15.55882192824869</v>
      </c>
      <c r="L39" s="4" t="s">
        <v>77</v>
      </c>
      <c r="M39" s="6" t="e">
        <f>M7+M30+M32+M33+M34+M35+M36+M37+#REF!+#REF!</f>
        <v>#REF!</v>
      </c>
      <c r="N39" s="6">
        <f>C39</f>
        <v>1836900</v>
      </c>
      <c r="O39" s="6" t="e">
        <f t="shared" si="6"/>
        <v>#REF!</v>
      </c>
      <c r="P39" s="6">
        <f>P7+P32+P33+P34+P35+P36</f>
        <v>1624472.9112999998</v>
      </c>
      <c r="Q39" s="6">
        <f>P39/N39*100</f>
        <v>88.43556596984048</v>
      </c>
      <c r="R39" s="6">
        <f>R7+R31</f>
        <v>216800</v>
      </c>
      <c r="S39" s="6">
        <f>T39-N39-R39</f>
        <v>69000</v>
      </c>
      <c r="T39" s="6">
        <f>I39</f>
        <v>2122700</v>
      </c>
      <c r="U39" s="6" t="e">
        <f t="shared" si="2"/>
        <v>#REF!</v>
      </c>
      <c r="V39" s="6">
        <f t="shared" si="3"/>
        <v>15.55882192824869</v>
      </c>
    </row>
    <row r="40" ht="14.25">
      <c r="E40" s="12"/>
    </row>
    <row r="41" spans="5:16" ht="14.25">
      <c r="E41" s="12"/>
      <c r="P41" s="12"/>
    </row>
    <row r="42" spans="12:20" ht="14.25">
      <c r="L42" s="12"/>
      <c r="T42" s="12"/>
    </row>
    <row r="43" spans="5:9" ht="14.25">
      <c r="E43" s="12"/>
      <c r="H43" s="12"/>
      <c r="I43" s="12"/>
    </row>
  </sheetData>
  <sheetProtection/>
  <mergeCells count="25">
    <mergeCell ref="A2:K2"/>
    <mergeCell ref="B4:K4"/>
    <mergeCell ref="M4:V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4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/>
  <pageMargins left="1.6600000000000001" right="0.17" top="0.59" bottom="0.37" header="0.25" footer="0.5"/>
  <pageSetup horizontalDpi="600" verticalDpi="600" orientation="landscape" paperSize="9" scale="80"/>
  <colBreaks count="1" manualBreakCount="1">
    <brk id="11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yushan</dc:creator>
  <cp:keywords/>
  <dc:description/>
  <cp:lastModifiedBy>Administrator</cp:lastModifiedBy>
  <cp:lastPrinted>2019-12-09T01:37:54Z</cp:lastPrinted>
  <dcterms:created xsi:type="dcterms:W3CDTF">2008-12-01T07:30:19Z</dcterms:created>
  <dcterms:modified xsi:type="dcterms:W3CDTF">2019-12-31T08:12:47Z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2052-10.8.2.6870</vt:lpwstr>
  </property>
</Properties>
</file>