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120" windowWidth="8505" windowHeight="4530" activeTab="6"/>
  </bookViews>
  <sheets>
    <sheet name="快报" sheetId="1" r:id="rId1"/>
    <sheet name="5日报表" sheetId="2" r:id="rId2"/>
    <sheet name="街镇明细" sheetId="4" r:id="rId3"/>
    <sheet name="街镇" sheetId="3" r:id="rId4"/>
    <sheet name="电子集市" sheetId="6" r:id="rId5"/>
    <sheet name="代理机构明细" sheetId="8" r:id="rId6"/>
    <sheet name="代理机构" sheetId="7" r:id="rId7"/>
  </sheets>
  <definedNames>
    <definedName name="_xlnm.Print_Area" localSheetId="1">'5日报表'!#REF!</definedName>
    <definedName name="_xlnm.Print_Area" localSheetId="3">街镇!#REF!</definedName>
  </definedNames>
  <calcPr calcId="145621"/>
</workbook>
</file>

<file path=xl/calcChain.xml><?xml version="1.0" encoding="utf-8"?>
<calcChain xmlns="http://schemas.openxmlformats.org/spreadsheetml/2006/main">
  <c r="G21" i="7" l="1"/>
  <c r="F21" i="7"/>
  <c r="G20" i="7"/>
  <c r="F20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E21" i="7"/>
  <c r="E20" i="7"/>
  <c r="E14" i="7"/>
  <c r="E13" i="7"/>
  <c r="E12" i="7"/>
  <c r="E11" i="7"/>
  <c r="E10" i="7"/>
  <c r="E9" i="7"/>
  <c r="E8" i="7"/>
  <c r="E7" i="7"/>
  <c r="G18" i="7"/>
  <c r="F18" i="7"/>
  <c r="E18" i="7"/>
  <c r="G17" i="7"/>
  <c r="F17" i="7"/>
  <c r="E17" i="7"/>
  <c r="G16" i="7"/>
  <c r="F16" i="7"/>
  <c r="E16" i="7"/>
  <c r="G15" i="7"/>
  <c r="F15" i="7"/>
  <c r="E15" i="7"/>
  <c r="L20" i="8" l="1"/>
  <c r="H20" i="8"/>
  <c r="D20" i="8"/>
  <c r="F6" i="8"/>
  <c r="J6" i="8"/>
  <c r="F17" i="8"/>
  <c r="J17" i="8"/>
  <c r="D4" i="6"/>
  <c r="B4" i="6"/>
  <c r="C4" i="6"/>
  <c r="G9" i="3" l="1"/>
  <c r="H9" i="3" s="1"/>
  <c r="I9" i="3" s="1"/>
  <c r="G7" i="3"/>
  <c r="F9" i="3"/>
  <c r="F7" i="3"/>
  <c r="F10" i="3" s="1"/>
  <c r="E9" i="3"/>
  <c r="E7" i="3"/>
  <c r="E10" i="3" s="1"/>
  <c r="G8" i="3"/>
  <c r="F8" i="3"/>
  <c r="H8" i="3" s="1"/>
  <c r="I8" i="3" s="1"/>
  <c r="E8" i="3"/>
  <c r="H7" i="3" l="1"/>
  <c r="G10" i="3"/>
  <c r="D10" i="3"/>
  <c r="C10" i="3"/>
  <c r="D7" i="1"/>
  <c r="D6" i="1"/>
  <c r="D4" i="1"/>
  <c r="C7" i="1"/>
  <c r="C6" i="1"/>
  <c r="C4" i="1"/>
  <c r="B8" i="1"/>
  <c r="B5" i="1"/>
  <c r="B7" i="1"/>
  <c r="B6" i="1"/>
  <c r="B4" i="1"/>
  <c r="D8" i="1"/>
  <c r="C8" i="1"/>
  <c r="D5" i="1"/>
  <c r="C5" i="1"/>
  <c r="G9" i="2"/>
  <c r="G8" i="2"/>
  <c r="G7" i="2"/>
  <c r="F9" i="2"/>
  <c r="F8" i="2"/>
  <c r="F7" i="2"/>
  <c r="E9" i="2"/>
  <c r="E8" i="2"/>
  <c r="E7" i="2"/>
  <c r="I7" i="3" l="1"/>
  <c r="H10" i="3"/>
  <c r="I10" i="3" s="1"/>
  <c r="G22" i="7"/>
  <c r="F22" i="7"/>
  <c r="E22" i="7"/>
  <c r="D22" i="7"/>
  <c r="B22" i="7"/>
  <c r="C22" i="7"/>
  <c r="J20" i="8"/>
  <c r="F20" i="8"/>
  <c r="B20" i="8"/>
  <c r="C20" i="8"/>
  <c r="E20" i="8"/>
  <c r="G20" i="8"/>
  <c r="I20" i="8"/>
  <c r="K20" i="8"/>
  <c r="Q9" i="8"/>
  <c r="M20" i="8"/>
  <c r="F11" i="4" l="1"/>
  <c r="F6" i="4"/>
  <c r="J6" i="4"/>
  <c r="B10" i="2"/>
  <c r="J16" i="4"/>
  <c r="J15" i="4"/>
  <c r="J14" i="4"/>
  <c r="J13" i="4"/>
  <c r="J12" i="4"/>
  <c r="J11" i="4"/>
  <c r="J10" i="4"/>
  <c r="J9" i="4"/>
  <c r="J8" i="4"/>
  <c r="J7" i="4"/>
  <c r="J5" i="4"/>
  <c r="F16" i="4"/>
  <c r="F15" i="4"/>
  <c r="F14" i="4"/>
  <c r="F13" i="4"/>
  <c r="F12" i="4"/>
  <c r="F10" i="4"/>
  <c r="F9" i="4"/>
  <c r="F8" i="4"/>
  <c r="F7" i="4"/>
  <c r="F5" i="4"/>
  <c r="B16" i="4"/>
  <c r="B13" i="4"/>
  <c r="B11" i="4"/>
  <c r="B10" i="4"/>
  <c r="B8" i="4"/>
  <c r="B7" i="4"/>
  <c r="B6" i="4"/>
  <c r="B5" i="4"/>
  <c r="B14" i="4"/>
  <c r="B12" i="4"/>
  <c r="B9" i="4"/>
  <c r="B15" i="4"/>
  <c r="E4" i="1"/>
  <c r="F4" i="1" s="1"/>
  <c r="E10" i="2"/>
  <c r="H9" i="2"/>
  <c r="I9" i="2" s="1"/>
  <c r="H8" i="2"/>
  <c r="I8" i="2" s="1"/>
  <c r="E17" i="4"/>
  <c r="D17" i="4"/>
  <c r="C17" i="4"/>
  <c r="B10" i="3"/>
  <c r="M17" i="4"/>
  <c r="L17" i="4"/>
  <c r="K17" i="4"/>
  <c r="I17" i="4"/>
  <c r="H17" i="4"/>
  <c r="G17" i="4"/>
  <c r="B9" i="1"/>
  <c r="C9" i="1"/>
  <c r="E6" i="1"/>
  <c r="F6" i="1" s="1"/>
  <c r="D8" i="6"/>
  <c r="C8" i="6"/>
  <c r="B8" i="6"/>
  <c r="E7" i="1"/>
  <c r="F7" i="1" s="1"/>
  <c r="E8" i="1"/>
  <c r="F8" i="1" s="1"/>
  <c r="C10" i="2"/>
  <c r="D10" i="2"/>
  <c r="D9" i="1"/>
  <c r="F10" i="2"/>
  <c r="E5" i="1"/>
  <c r="F5" i="1" s="1"/>
  <c r="G10" i="2"/>
  <c r="H7" i="2"/>
  <c r="F17" i="4" l="1"/>
  <c r="J17" i="4"/>
  <c r="B17" i="4"/>
  <c r="E9" i="1"/>
  <c r="F9" i="1" s="1"/>
  <c r="H10" i="2"/>
  <c r="I10" i="2" s="1"/>
  <c r="I7" i="2"/>
</calcChain>
</file>

<file path=xl/sharedStrings.xml><?xml version="1.0" encoding="utf-8"?>
<sst xmlns="http://schemas.openxmlformats.org/spreadsheetml/2006/main" count="167" uniqueCount="101">
  <si>
    <t>采购次数</t>
    <phoneticPr fontId="1" type="noConversion"/>
  </si>
  <si>
    <t>节约额</t>
    <phoneticPr fontId="1" type="noConversion"/>
  </si>
  <si>
    <t>节约率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</si>
  <si>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</si>
  <si>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</si>
  <si>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</si>
  <si>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合计</t>
    <phoneticPr fontId="1" type="noConversion"/>
  </si>
  <si>
    <t>预算安排</t>
    <phoneticPr fontId="1" type="noConversion"/>
  </si>
  <si>
    <t>已验收项目预算</t>
    <phoneticPr fontId="1" type="noConversion"/>
  </si>
  <si>
    <t>累计数</t>
    <phoneticPr fontId="1" type="noConversion"/>
  </si>
  <si>
    <t>招投标数</t>
    <phoneticPr fontId="1" type="noConversion"/>
  </si>
  <si>
    <t>已验收项目采购金额</t>
    <phoneticPr fontId="1" type="noConversion"/>
  </si>
  <si>
    <t>注:1、节约额=5栏-6栏</t>
    <phoneticPr fontId="1" type="noConversion"/>
  </si>
  <si>
    <t>当月数</t>
    <phoneticPr fontId="1" type="noConversion"/>
  </si>
  <si>
    <t>采购类别</t>
    <phoneticPr fontId="1" type="noConversion"/>
  </si>
  <si>
    <t xml:space="preserve">    2、节约率=7/5*100</t>
    <phoneticPr fontId="1" type="noConversion"/>
  </si>
  <si>
    <t>填报单位(盖章):宝山区政府采购办公室</t>
    <phoneticPr fontId="1" type="noConversion"/>
  </si>
  <si>
    <t>单位:万元</t>
    <phoneticPr fontId="1" type="noConversion"/>
  </si>
  <si>
    <t>预算金额</t>
    <phoneticPr fontId="1" type="noConversion"/>
  </si>
  <si>
    <t>金额单位：万元</t>
    <phoneticPr fontId="1" type="noConversion"/>
  </si>
  <si>
    <t>采购类别</t>
  </si>
  <si>
    <t>预算安排资金</t>
  </si>
  <si>
    <t>实际采购金额</t>
  </si>
  <si>
    <t>节约额</t>
  </si>
  <si>
    <t>备注</t>
  </si>
  <si>
    <t>货物</t>
  </si>
  <si>
    <t>工程</t>
  </si>
  <si>
    <t>服务</t>
  </si>
  <si>
    <t>合计</t>
  </si>
  <si>
    <t>填报单位(盖章):宝山区政府采购办公室</t>
    <phoneticPr fontId="1" type="noConversion"/>
  </si>
  <si>
    <t xml:space="preserve">        单位:万元</t>
    <phoneticPr fontId="1" type="noConversion"/>
  </si>
  <si>
    <t>采购合同数</t>
    <phoneticPr fontId="1" type="noConversion"/>
  </si>
  <si>
    <t>注:节约额=预算安排资金-实际采购金额;节约率=节约额/预算安排资金</t>
    <phoneticPr fontId="1" type="noConversion"/>
  </si>
  <si>
    <t>单位:万元</t>
  </si>
  <si>
    <t>实际采购金额</t>
    <phoneticPr fontId="1" type="noConversion"/>
  </si>
  <si>
    <t>其中：街镇服务</t>
    <phoneticPr fontId="1" type="noConversion"/>
  </si>
  <si>
    <t>其中：街镇货物</t>
    <phoneticPr fontId="1" type="noConversion"/>
  </si>
  <si>
    <t>单位:万元</t>
    <phoneticPr fontId="1" type="noConversion"/>
  </si>
  <si>
    <t>单位</t>
    <phoneticPr fontId="1" type="noConversion"/>
  </si>
  <si>
    <t>采购次数</t>
    <phoneticPr fontId="1" type="noConversion"/>
  </si>
  <si>
    <t>预算安排资金</t>
    <phoneticPr fontId="1" type="noConversion"/>
  </si>
  <si>
    <t>实际采购金额</t>
    <phoneticPr fontId="1" type="noConversion"/>
  </si>
  <si>
    <t>合计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</si>
  <si>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</si>
  <si>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</si>
  <si>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</si>
  <si>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吴淞街道</t>
    <phoneticPr fontId="1" type="noConversion"/>
  </si>
  <si>
    <t>友谊街道</t>
    <phoneticPr fontId="1" type="noConversion"/>
  </si>
  <si>
    <t>张庙街道</t>
    <phoneticPr fontId="1" type="noConversion"/>
  </si>
  <si>
    <t>高境镇</t>
    <phoneticPr fontId="1" type="noConversion"/>
  </si>
  <si>
    <t>淞南镇</t>
    <phoneticPr fontId="1" type="noConversion"/>
  </si>
  <si>
    <t>庙行镇</t>
    <phoneticPr fontId="1" type="noConversion"/>
  </si>
  <si>
    <t>大场镇</t>
    <phoneticPr fontId="1" type="noConversion"/>
  </si>
  <si>
    <t>杨行镇</t>
    <phoneticPr fontId="1" type="noConversion"/>
  </si>
  <si>
    <t>顾村镇</t>
    <phoneticPr fontId="1" type="noConversion"/>
  </si>
  <si>
    <t>月浦镇</t>
    <phoneticPr fontId="1" type="noConversion"/>
  </si>
  <si>
    <t>罗店镇</t>
    <phoneticPr fontId="1" type="noConversion"/>
  </si>
  <si>
    <t>罗泾镇</t>
    <phoneticPr fontId="1" type="noConversion"/>
  </si>
  <si>
    <t>填报单位(盖章):宝山区政府采购办公室</t>
    <phoneticPr fontId="1" type="noConversion"/>
  </si>
  <si>
    <t>采购类别</t>
    <phoneticPr fontId="1" type="noConversion"/>
  </si>
  <si>
    <t>当月数</t>
    <phoneticPr fontId="1" type="noConversion"/>
  </si>
  <si>
    <t>注:1、节约额=5栏-6栏</t>
    <phoneticPr fontId="1" type="noConversion"/>
  </si>
  <si>
    <t xml:space="preserve">    2、节约率=7/5*100</t>
    <phoneticPr fontId="1" type="noConversion"/>
  </si>
  <si>
    <t>代理机构</t>
    <phoneticPr fontId="1" type="noConversion"/>
  </si>
  <si>
    <t>预算安排金额</t>
    <phoneticPr fontId="1" type="noConversion"/>
  </si>
  <si>
    <t>欣声</t>
    <phoneticPr fontId="1" type="noConversion"/>
  </si>
  <si>
    <t>瑞和</t>
    <phoneticPr fontId="1" type="noConversion"/>
  </si>
  <si>
    <t>宝信</t>
    <phoneticPr fontId="1" type="noConversion"/>
  </si>
  <si>
    <t>中世</t>
    <phoneticPr fontId="1" type="noConversion"/>
  </si>
  <si>
    <t>宁信</t>
    <phoneticPr fontId="1" type="noConversion"/>
  </si>
  <si>
    <t>沪中</t>
    <phoneticPr fontId="1" type="noConversion"/>
  </si>
  <si>
    <t>社发</t>
    <phoneticPr fontId="1" type="noConversion"/>
  </si>
  <si>
    <t>申权</t>
    <phoneticPr fontId="1" type="noConversion"/>
  </si>
  <si>
    <t>宝华</t>
    <phoneticPr fontId="1" type="noConversion"/>
  </si>
  <si>
    <t>机电</t>
    <phoneticPr fontId="1" type="noConversion"/>
  </si>
  <si>
    <t>碧凌</t>
    <phoneticPr fontId="1" type="noConversion"/>
  </si>
  <si>
    <t>正弘</t>
    <phoneticPr fontId="1" type="noConversion"/>
  </si>
  <si>
    <t>拓盛</t>
    <phoneticPr fontId="1" type="noConversion"/>
  </si>
  <si>
    <t>合计：</t>
    <phoneticPr fontId="1" type="noConversion"/>
  </si>
  <si>
    <t xml:space="preserve">节约率（%） </t>
  </si>
  <si>
    <t>其中:通过电子集市采购</t>
    <phoneticPr fontId="1" type="noConversion"/>
  </si>
  <si>
    <t>累计数</t>
    <phoneticPr fontId="1" type="noConversion"/>
  </si>
  <si>
    <t>实际采购金额</t>
    <phoneticPr fontId="1" type="noConversion"/>
  </si>
  <si>
    <t>碧凌</t>
    <phoneticPr fontId="1" type="noConversion"/>
  </si>
  <si>
    <t>健生</t>
    <phoneticPr fontId="1" type="noConversion"/>
  </si>
  <si>
    <t>正弘</t>
    <phoneticPr fontId="1" type="noConversion"/>
  </si>
  <si>
    <t>酉米</t>
    <phoneticPr fontId="1" type="noConversion"/>
  </si>
  <si>
    <t>拓盛</t>
    <phoneticPr fontId="1" type="noConversion"/>
  </si>
  <si>
    <r>
      <t>填表日期:    2018-</t>
    </r>
    <r>
      <rPr>
        <sz val="12"/>
        <rFont val="宋体"/>
        <family val="3"/>
        <charset val="134"/>
      </rPr>
      <t>9</t>
    </r>
    <r>
      <rPr>
        <sz val="12"/>
        <rFont val="宋体"/>
        <charset val="134"/>
      </rPr>
      <t>-</t>
    </r>
    <r>
      <rPr>
        <sz val="12"/>
        <rFont val="宋体"/>
        <family val="3"/>
        <charset val="134"/>
      </rPr>
      <t>29</t>
    </r>
    <phoneticPr fontId="1" type="noConversion"/>
  </si>
  <si>
    <r>
      <t>填表日期:</t>
    </r>
    <r>
      <rPr>
        <sz val="11"/>
        <color indexed="8"/>
        <rFont val="仿宋_GB2312"/>
        <family val="3"/>
        <charset val="134"/>
      </rPr>
      <t>2018-9-29</t>
    </r>
    <phoneticPr fontId="1" type="noConversion"/>
  </si>
  <si>
    <r>
      <t>填表日期:    2018-</t>
    </r>
    <r>
      <rPr>
        <sz val="12"/>
        <rFont val="宋体"/>
        <family val="3"/>
        <charset val="134"/>
      </rPr>
      <t>9</t>
    </r>
    <r>
      <rPr>
        <sz val="12"/>
        <rFont val="宋体"/>
        <charset val="134"/>
      </rPr>
      <t>-</t>
    </r>
    <r>
      <rPr>
        <sz val="12"/>
        <rFont val="宋体"/>
        <family val="3"/>
        <charset val="134"/>
      </rPr>
      <t>29</t>
    </r>
    <phoneticPr fontId="1" type="noConversion"/>
  </si>
  <si>
    <t>填表日期:    2018-9-29</t>
    <phoneticPr fontId="1" type="noConversion"/>
  </si>
  <si>
    <r>
      <t>政府采购统计快报(1-8</t>
    </r>
    <r>
      <rPr>
        <b/>
        <sz val="18"/>
        <color indexed="8"/>
        <rFont val="宋体"/>
        <charset val="134"/>
      </rPr>
      <t>月）</t>
    </r>
    <phoneticPr fontId="1" type="noConversion"/>
  </si>
  <si>
    <t>宝山区政府采购执行情况表（8月）</t>
    <phoneticPr fontId="1" type="noConversion"/>
  </si>
  <si>
    <r>
      <t>宝山区政府采购执行情况表（街镇明细）(8</t>
    </r>
    <r>
      <rPr>
        <b/>
        <sz val="18"/>
        <rFont val="宋体"/>
        <charset val="134"/>
      </rPr>
      <t>月）</t>
    </r>
    <phoneticPr fontId="1" type="noConversion"/>
  </si>
  <si>
    <r>
      <t>宝山区政府采购执行情况表(街镇）(8</t>
    </r>
    <r>
      <rPr>
        <b/>
        <sz val="18"/>
        <rFont val="宋体"/>
        <charset val="134"/>
      </rPr>
      <t>月）</t>
    </r>
    <phoneticPr fontId="1" type="noConversion"/>
  </si>
  <si>
    <r>
      <t>2018年4月电子集市采购统计表（8</t>
    </r>
    <r>
      <rPr>
        <b/>
        <sz val="16"/>
        <rFont val="宋体"/>
        <charset val="134"/>
      </rPr>
      <t>月）</t>
    </r>
    <phoneticPr fontId="1" type="noConversion"/>
  </si>
  <si>
    <r>
      <t>宝山区政府采购集中采购执行情况表（代理机构明细）(8</t>
    </r>
    <r>
      <rPr>
        <b/>
        <sz val="18"/>
        <rFont val="宋体"/>
        <charset val="134"/>
      </rPr>
      <t>月）</t>
    </r>
    <phoneticPr fontId="1" type="noConversion"/>
  </si>
  <si>
    <r>
      <t>宝山区政府采购执行集中采购情况表(代理机构）(8</t>
    </r>
    <r>
      <rPr>
        <b/>
        <sz val="18"/>
        <rFont val="宋体"/>
        <charset val="134"/>
      </rPr>
      <t>月）</t>
    </r>
    <phoneticPr fontId="1" type="noConversion"/>
  </si>
  <si>
    <r>
      <t>填表日期:    2018-9</t>
    </r>
    <r>
      <rPr>
        <sz val="12"/>
        <rFont val="宋体"/>
        <charset val="134"/>
      </rPr>
      <t>-</t>
    </r>
    <r>
      <rPr>
        <sz val="12"/>
        <rFont val="宋体"/>
        <family val="3"/>
        <charset val="134"/>
      </rPr>
      <t>2</t>
    </r>
    <r>
      <rPr>
        <sz val="12"/>
        <rFont val="宋体"/>
        <charset val="134"/>
      </rPr>
      <t>9</t>
    </r>
    <phoneticPr fontId="1" type="noConversion"/>
  </si>
  <si>
    <r>
      <t>填表日期:    2018-9</t>
    </r>
    <r>
      <rPr>
        <sz val="12"/>
        <rFont val="宋体"/>
        <charset val="134"/>
      </rPr>
      <t>-</t>
    </r>
    <r>
      <rPr>
        <sz val="12"/>
        <rFont val="宋体"/>
        <family val="3"/>
        <charset val="134"/>
      </rPr>
      <t>2</t>
    </r>
    <r>
      <rPr>
        <sz val="12"/>
        <rFont val="宋体"/>
        <charset val="134"/>
      </rPr>
      <t>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</si>
</sst>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#,##0;\-#,##0;"/>
    <numFmt numFmtId="180" formatCode="#,##0.00;\-#,##0.00;"/>
    <numFmt numFmtId="181" formatCode="#,##0_);\(#,##0\)"/>
    <numFmt numFmtId="182" formatCode="#,##0.00_);\(#,##0.00\)"/>
  </numFmts>
  <fonts count="38" x14ac:knownFonts="1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5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4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5" fillId="0" borderId="0">
      <alignment vertical="center"/>
    </xf>
  </cellStyleXfs>
  <cellXfs count="210">
    <xf numFmtId="0" fontId="0" fillId="0" borderId="0" xfId="0"/>
    <xf numFmtId="177" fontId="4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2" fillId="0" borderId="0" xfId="0" applyNumberFormat="1" applyFont="1"/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/>
    <xf numFmtId="177" fontId="5" fillId="0" borderId="0" xfId="2" applyNumberFormat="1">
      <alignment vertical="center"/>
    </xf>
    <xf numFmtId="177" fontId="5" fillId="0" borderId="0" xfId="2" applyNumberFormat="1" applyFont="1">
      <alignment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/>
    <xf numFmtId="177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/>
    <xf numFmtId="178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177" fontId="10" fillId="0" borderId="0" xfId="0" applyNumberFormat="1" applyFont="1" applyBorder="1"/>
    <xf numFmtId="178" fontId="11" fillId="0" borderId="0" xfId="0" applyNumberFormat="1" applyFont="1" applyBorder="1"/>
    <xf numFmtId="177" fontId="11" fillId="0" borderId="0" xfId="0" applyNumberFormat="1" applyFont="1" applyBorder="1"/>
    <xf numFmtId="0" fontId="11" fillId="0" borderId="0" xfId="0" applyFont="1" applyBorder="1"/>
    <xf numFmtId="0" fontId="13" fillId="0" borderId="4" xfId="0" applyFont="1" applyBorder="1" applyAlignment="1">
      <alignment horizontal="center" vertical="center" wrapText="1"/>
    </xf>
    <xf numFmtId="177" fontId="10" fillId="0" borderId="0" xfId="0" applyNumberFormat="1" applyFont="1"/>
    <xf numFmtId="177" fontId="14" fillId="0" borderId="0" xfId="0" applyNumberFormat="1" applyFont="1"/>
    <xf numFmtId="177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4" fillId="0" borderId="1" xfId="0" applyNumberFormat="1" applyFont="1" applyFill="1" applyBorder="1"/>
    <xf numFmtId="178" fontId="4" fillId="0" borderId="5" xfId="0" applyNumberFormat="1" applyFont="1" applyBorder="1" applyAlignment="1">
      <alignment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7" fontId="4" fillId="0" borderId="0" xfId="2" applyNumberFormat="1" applyFont="1">
      <alignment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5" fillId="0" borderId="0" xfId="2" applyNumberForma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left" vertical="center"/>
    </xf>
    <xf numFmtId="177" fontId="15" fillId="0" borderId="0" xfId="0" applyNumberFormat="1" applyFont="1"/>
    <xf numFmtId="177" fontId="15" fillId="0" borderId="0" xfId="0" applyNumberFormat="1" applyFont="1" applyFill="1"/>
    <xf numFmtId="177" fontId="17" fillId="0" borderId="0" xfId="0" applyNumberFormat="1" applyFont="1"/>
    <xf numFmtId="177" fontId="5" fillId="0" borderId="0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5" fillId="0" borderId="0" xfId="2" applyNumberFormat="1" applyFont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177" fontId="0" fillId="0" borderId="8" xfId="0" applyNumberFormat="1" applyBorder="1"/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77" fontId="16" fillId="0" borderId="11" xfId="0" applyNumberFormat="1" applyFont="1" applyBorder="1"/>
    <xf numFmtId="0" fontId="19" fillId="0" borderId="20" xfId="0" applyFont="1" applyBorder="1"/>
    <xf numFmtId="178" fontId="19" fillId="0" borderId="3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178" fontId="19" fillId="0" borderId="21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 wrapText="1"/>
    </xf>
    <xf numFmtId="177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/>
    <xf numFmtId="0" fontId="19" fillId="0" borderId="24" xfId="0" applyNumberFormat="1" applyFont="1" applyBorder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177" fontId="22" fillId="0" borderId="23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177" fontId="26" fillId="0" borderId="0" xfId="0" applyNumberFormat="1" applyFont="1"/>
    <xf numFmtId="177" fontId="0" fillId="0" borderId="10" xfId="0" applyNumberFormat="1" applyBorder="1"/>
    <xf numFmtId="0" fontId="4" fillId="0" borderId="47" xfId="0" applyFont="1" applyBorder="1" applyAlignment="1">
      <alignment horizontal="left" vertical="center"/>
    </xf>
    <xf numFmtId="177" fontId="19" fillId="0" borderId="0" xfId="2" applyNumberFormat="1" applyFont="1" applyAlignment="1">
      <alignment vertical="center"/>
    </xf>
    <xf numFmtId="177" fontId="28" fillId="0" borderId="0" xfId="0" applyNumberFormat="1" applyFont="1"/>
    <xf numFmtId="0" fontId="29" fillId="0" borderId="1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33" fillId="0" borderId="17" xfId="0" applyFont="1" applyBorder="1" applyAlignment="1">
      <alignment vertical="center" wrapText="1"/>
    </xf>
    <xf numFmtId="0" fontId="28" fillId="0" borderId="0" xfId="0" applyFont="1"/>
    <xf numFmtId="0" fontId="33" fillId="0" borderId="18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177" fontId="34" fillId="0" borderId="1" xfId="0" applyNumberFormat="1" applyFont="1" applyBorder="1" applyAlignment="1">
      <alignment vertical="center"/>
    </xf>
    <xf numFmtId="178" fontId="28" fillId="0" borderId="10" xfId="0" applyNumberFormat="1" applyFont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/>
    </xf>
    <xf numFmtId="178" fontId="28" fillId="0" borderId="3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1" xfId="0" applyFont="1" applyBorder="1"/>
    <xf numFmtId="0" fontId="28" fillId="0" borderId="20" xfId="0" applyFont="1" applyBorder="1"/>
    <xf numFmtId="0" fontId="28" fillId="2" borderId="1" xfId="0" applyFont="1" applyFill="1" applyBorder="1" applyAlignment="1">
      <alignment horizontal="right" wrapText="1"/>
    </xf>
    <xf numFmtId="182" fontId="28" fillId="0" borderId="20" xfId="0" applyNumberFormat="1" applyFont="1" applyBorder="1" applyAlignment="1">
      <alignment horizontal="right" vertical="center"/>
    </xf>
    <xf numFmtId="182" fontId="28" fillId="0" borderId="26" xfId="0" applyNumberFormat="1" applyFont="1" applyBorder="1" applyAlignment="1">
      <alignment horizontal="right" vertical="center"/>
    </xf>
    <xf numFmtId="182" fontId="28" fillId="0" borderId="1" xfId="0" applyNumberFormat="1" applyFont="1" applyBorder="1" applyAlignment="1">
      <alignment horizontal="right" vertical="center"/>
    </xf>
    <xf numFmtId="182" fontId="28" fillId="0" borderId="27" xfId="0" applyNumberFormat="1" applyFont="1" applyBorder="1" applyAlignment="1">
      <alignment horizontal="right" vertical="center"/>
    </xf>
    <xf numFmtId="181" fontId="28" fillId="0" borderId="15" xfId="0" applyNumberFormat="1" applyFont="1" applyBorder="1" applyAlignment="1">
      <alignment horizontal="center" vertical="center"/>
    </xf>
    <xf numFmtId="182" fontId="28" fillId="0" borderId="12" xfId="0" applyNumberFormat="1" applyFont="1" applyBorder="1" applyAlignment="1">
      <alignment horizontal="right" vertical="center"/>
    </xf>
    <xf numFmtId="181" fontId="28" fillId="0" borderId="12" xfId="0" applyNumberFormat="1" applyFont="1" applyBorder="1" applyAlignment="1">
      <alignment horizontal="center" vertical="center"/>
    </xf>
    <xf numFmtId="182" fontId="28" fillId="0" borderId="29" xfId="0" applyNumberFormat="1" applyFont="1" applyBorder="1" applyAlignment="1">
      <alignment horizontal="right" vertical="center"/>
    </xf>
    <xf numFmtId="0" fontId="28" fillId="0" borderId="34" xfId="0" applyFont="1" applyBorder="1"/>
    <xf numFmtId="179" fontId="28" fillId="0" borderId="44" xfId="0" applyNumberFormat="1" applyFont="1" applyBorder="1" applyAlignment="1">
      <alignment horizontal="center" vertical="center" wrapText="1"/>
    </xf>
    <xf numFmtId="179" fontId="28" fillId="0" borderId="45" xfId="0" applyNumberFormat="1" applyFont="1" applyBorder="1" applyAlignment="1">
      <alignment horizontal="center" vertical="center" wrapText="1"/>
    </xf>
    <xf numFmtId="179" fontId="28" fillId="0" borderId="21" xfId="0" applyNumberFormat="1" applyFont="1" applyBorder="1" applyAlignment="1">
      <alignment horizontal="center" vertical="center" wrapText="1"/>
    </xf>
    <xf numFmtId="179" fontId="28" fillId="0" borderId="46" xfId="0" applyNumberFormat="1" applyFont="1" applyBorder="1" applyAlignment="1">
      <alignment horizontal="center" vertical="center" wrapText="1"/>
    </xf>
    <xf numFmtId="179" fontId="28" fillId="0" borderId="41" xfId="0" applyNumberFormat="1" applyFont="1" applyBorder="1" applyAlignment="1">
      <alignment horizontal="center" vertical="center" wrapText="1"/>
    </xf>
    <xf numFmtId="0" fontId="28" fillId="0" borderId="37" xfId="0" applyFont="1" applyBorder="1"/>
    <xf numFmtId="0" fontId="28" fillId="0" borderId="5" xfId="0" applyFont="1" applyBorder="1"/>
    <xf numFmtId="180" fontId="28" fillId="0" borderId="20" xfId="0" applyNumberFormat="1" applyFont="1" applyBorder="1" applyAlignment="1">
      <alignment vertical="center" wrapText="1"/>
    </xf>
    <xf numFmtId="180" fontId="28" fillId="0" borderId="26" xfId="0" applyNumberFormat="1" applyFont="1" applyBorder="1" applyAlignment="1">
      <alignment vertical="center" wrapText="1"/>
    </xf>
    <xf numFmtId="180" fontId="28" fillId="0" borderId="34" xfId="0" applyNumberFormat="1" applyFont="1" applyBorder="1" applyAlignment="1">
      <alignment vertical="center" wrapText="1"/>
    </xf>
    <xf numFmtId="180" fontId="28" fillId="0" borderId="35" xfId="0" applyNumberFormat="1" applyFont="1" applyBorder="1" applyAlignment="1">
      <alignment vertical="center" wrapText="1"/>
    </xf>
    <xf numFmtId="0" fontId="28" fillId="2" borderId="37" xfId="0" applyFont="1" applyFill="1" applyBorder="1" applyAlignment="1">
      <alignment horizontal="right" wrapText="1"/>
    </xf>
    <xf numFmtId="180" fontId="28" fillId="0" borderId="37" xfId="0" applyNumberFormat="1" applyFont="1" applyBorder="1" applyAlignment="1">
      <alignment vertical="center" wrapText="1"/>
    </xf>
    <xf numFmtId="180" fontId="28" fillId="0" borderId="38" xfId="0" applyNumberFormat="1" applyFont="1" applyBorder="1" applyAlignment="1">
      <alignment vertical="center" wrapText="1"/>
    </xf>
    <xf numFmtId="180" fontId="28" fillId="0" borderId="5" xfId="0" applyNumberFormat="1" applyFont="1" applyBorder="1" applyAlignment="1">
      <alignment vertical="center" wrapText="1"/>
    </xf>
    <xf numFmtId="180" fontId="28" fillId="0" borderId="39" xfId="0" applyNumberFormat="1" applyFont="1" applyBorder="1" applyAlignment="1">
      <alignment vertical="center" wrapText="1"/>
    </xf>
    <xf numFmtId="180" fontId="28" fillId="0" borderId="42" xfId="0" applyNumberFormat="1" applyFont="1" applyBorder="1" applyAlignment="1">
      <alignment vertical="center" wrapText="1"/>
    </xf>
    <xf numFmtId="180" fontId="28" fillId="0" borderId="43" xfId="0" applyNumberFormat="1" applyFont="1" applyBorder="1" applyAlignment="1">
      <alignment vertical="center" wrapText="1"/>
    </xf>
    <xf numFmtId="178" fontId="28" fillId="0" borderId="1" xfId="0" applyNumberFormat="1" applyFont="1" applyBorder="1" applyAlignment="1">
      <alignment vertical="center"/>
    </xf>
    <xf numFmtId="177" fontId="28" fillId="0" borderId="1" xfId="2" applyNumberFormat="1" applyFont="1" applyBorder="1" applyAlignment="1">
      <alignment vertical="center"/>
    </xf>
    <xf numFmtId="177" fontId="28" fillId="0" borderId="1" xfId="0" applyNumberFormat="1" applyFont="1" applyBorder="1" applyAlignment="1">
      <alignment vertical="center"/>
    </xf>
    <xf numFmtId="0" fontId="36" fillId="0" borderId="1" xfId="1" applyNumberFormat="1" applyFont="1" applyFill="1" applyBorder="1" applyAlignment="1">
      <alignment horizontal="center" vertical="center" wrapText="1" readingOrder="1"/>
    </xf>
    <xf numFmtId="0" fontId="28" fillId="0" borderId="1" xfId="1" applyNumberFormat="1" applyFont="1" applyFill="1" applyBorder="1" applyAlignment="1">
      <alignment horizontal="center" vertical="center" wrapText="1" readingOrder="1"/>
    </xf>
    <xf numFmtId="177" fontId="28" fillId="0" borderId="1" xfId="2" applyNumberFormat="1" applyFont="1" applyFill="1" applyBorder="1" applyAlignment="1">
      <alignment vertical="center"/>
    </xf>
    <xf numFmtId="178" fontId="37" fillId="0" borderId="10" xfId="0" applyNumberFormat="1" applyFont="1" applyBorder="1" applyAlignment="1">
      <alignment horizontal="center" vertical="center"/>
    </xf>
    <xf numFmtId="177" fontId="37" fillId="0" borderId="1" xfId="0" applyNumberFormat="1" applyFont="1" applyBorder="1" applyAlignment="1">
      <alignment horizontal="center" vertical="center"/>
    </xf>
    <xf numFmtId="177" fontId="37" fillId="0" borderId="7" xfId="0" applyNumberFormat="1" applyFont="1" applyBorder="1" applyAlignment="1">
      <alignment horizontal="center" vertical="center"/>
    </xf>
    <xf numFmtId="178" fontId="37" fillId="0" borderId="3" xfId="0" applyNumberFormat="1" applyFont="1" applyBorder="1" applyAlignment="1">
      <alignment horizontal="center" vertical="center"/>
    </xf>
    <xf numFmtId="177" fontId="37" fillId="0" borderId="2" xfId="0" applyNumberFormat="1" applyFont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center" vertical="center"/>
    </xf>
    <xf numFmtId="177" fontId="37" fillId="0" borderId="14" xfId="0" applyNumberFormat="1" applyFont="1" applyBorder="1" applyAlignment="1">
      <alignment horizontal="center" vertical="center"/>
    </xf>
    <xf numFmtId="178" fontId="37" fillId="0" borderId="15" xfId="0" applyNumberFormat="1" applyFont="1" applyBorder="1" applyAlignment="1">
      <alignment horizontal="center" vertical="center"/>
    </xf>
    <xf numFmtId="177" fontId="37" fillId="0" borderId="13" xfId="0" applyNumberFormat="1" applyFont="1" applyBorder="1" applyAlignment="1">
      <alignment horizontal="center" vertical="center"/>
    </xf>
    <xf numFmtId="17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177" fontId="28" fillId="3" borderId="1" xfId="0" applyNumberFormat="1" applyFont="1" applyFill="1" applyBorder="1" applyAlignment="1">
      <alignment horizontal="right" vertical="center" wrapText="1"/>
    </xf>
    <xf numFmtId="177" fontId="28" fillId="0" borderId="1" xfId="0" applyNumberFormat="1" applyFont="1" applyBorder="1" applyAlignment="1">
      <alignment horizontal="right" vertical="center"/>
    </xf>
    <xf numFmtId="179" fontId="28" fillId="0" borderId="1" xfId="0" applyNumberFormat="1" applyFont="1" applyBorder="1" applyAlignment="1">
      <alignment horizontal="center" vertical="center"/>
    </xf>
    <xf numFmtId="178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76" fontId="28" fillId="0" borderId="1" xfId="0" applyNumberFormat="1" applyFont="1" applyBorder="1"/>
    <xf numFmtId="177" fontId="28" fillId="0" borderId="0" xfId="2" applyNumberFormat="1" applyFont="1">
      <alignment vertical="center"/>
    </xf>
    <xf numFmtId="178" fontId="34" fillId="0" borderId="1" xfId="0" applyNumberFormat="1" applyFont="1" applyBorder="1" applyAlignment="1">
      <alignment horizontal="center" vertical="center"/>
    </xf>
    <xf numFmtId="0" fontId="28" fillId="0" borderId="0" xfId="0" applyFont="1" applyAlignment="1"/>
    <xf numFmtId="178" fontId="28" fillId="0" borderId="1" xfId="0" applyNumberFormat="1" applyFont="1" applyFill="1" applyBorder="1" applyAlignment="1">
      <alignment horizontal="center" vertical="center"/>
    </xf>
    <xf numFmtId="178" fontId="28" fillId="0" borderId="24" xfId="0" applyNumberFormat="1" applyFont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177" fontId="28" fillId="0" borderId="25" xfId="0" applyNumberFormat="1" applyFont="1" applyBorder="1" applyAlignment="1">
      <alignment horizontal="center" vertical="center"/>
    </xf>
    <xf numFmtId="178" fontId="28" fillId="0" borderId="12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177" fontId="28" fillId="0" borderId="13" xfId="0" applyNumberFormat="1" applyFont="1" applyBorder="1" applyAlignment="1">
      <alignment horizontal="center"/>
    </xf>
    <xf numFmtId="177" fontId="1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21" fillId="0" borderId="50" xfId="0" applyNumberFormat="1" applyFont="1" applyBorder="1" applyAlignment="1">
      <alignment horizontal="center"/>
    </xf>
    <xf numFmtId="177" fontId="21" fillId="0" borderId="51" xfId="0" applyNumberFormat="1" applyFont="1" applyBorder="1" applyAlignment="1">
      <alignment horizontal="center"/>
    </xf>
    <xf numFmtId="177" fontId="31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20" fillId="0" borderId="52" xfId="0" applyNumberFormat="1" applyFont="1" applyBorder="1" applyAlignment="1">
      <alignment horizontal="center" vertical="center"/>
    </xf>
    <xf numFmtId="177" fontId="20" fillId="0" borderId="5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/>
    </xf>
    <xf numFmtId="177" fontId="21" fillId="0" borderId="54" xfId="0" applyNumberFormat="1" applyFont="1" applyBorder="1" applyAlignment="1">
      <alignment horizontal="center"/>
    </xf>
    <xf numFmtId="177" fontId="21" fillId="0" borderId="55" xfId="0" applyNumberFormat="1" applyFont="1" applyBorder="1" applyAlignment="1">
      <alignment horizontal="center"/>
    </xf>
    <xf numFmtId="177" fontId="27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left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/>
    </xf>
    <xf numFmtId="177" fontId="4" fillId="0" borderId="49" xfId="0" applyNumberFormat="1" applyFont="1" applyBorder="1" applyAlignment="1">
      <alignment horizontal="center"/>
    </xf>
    <xf numFmtId="177" fontId="4" fillId="0" borderId="48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49" xfId="0" applyNumberFormat="1" applyFont="1" applyBorder="1" applyAlignment="1">
      <alignment horizontal="center" vertical="center" wrapText="1"/>
    </xf>
    <xf numFmtId="178" fontId="4" fillId="0" borderId="48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left"/>
    </xf>
    <xf numFmtId="177" fontId="6" fillId="0" borderId="56" xfId="0" applyNumberFormat="1" applyFont="1" applyBorder="1" applyAlignment="1">
      <alignment horizontal="center"/>
    </xf>
    <xf numFmtId="177" fontId="6" fillId="0" borderId="57" xfId="0" applyNumberFormat="1" applyFont="1" applyBorder="1" applyAlignment="1">
      <alignment horizontal="center"/>
    </xf>
    <xf numFmtId="177" fontId="6" fillId="0" borderId="58" xfId="0" applyNumberFormat="1" applyFont="1" applyBorder="1" applyAlignment="1">
      <alignment horizontal="center"/>
    </xf>
    <xf numFmtId="177" fontId="7" fillId="0" borderId="54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35" fillId="0" borderId="50" xfId="0" applyNumberFormat="1" applyFont="1" applyBorder="1" applyAlignment="1">
      <alignment horizontal="center"/>
    </xf>
    <xf numFmtId="177" fontId="35" fillId="0" borderId="51" xfId="0" applyNumberFormat="1" applyFont="1" applyBorder="1" applyAlignment="1">
      <alignment horizontal="center"/>
    </xf>
    <xf numFmtId="177" fontId="35" fillId="0" borderId="55" xfId="0" applyNumberFormat="1" applyFont="1" applyBorder="1" applyAlignment="1">
      <alignment horizontal="center"/>
    </xf>
    <xf numFmtId="177" fontId="32" fillId="0" borderId="0" xfId="0" applyNumberFormat="1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7" fillId="0" borderId="5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21" fillId="0" borderId="57" xfId="0" applyNumberFormat="1" applyFont="1" applyBorder="1" applyAlignment="1">
      <alignment horizontal="center"/>
    </xf>
    <xf numFmtId="177" fontId="21" fillId="0" borderId="59" xfId="0" applyNumberFormat="1" applyFont="1" applyBorder="1" applyAlignment="1">
      <alignment horizontal="center"/>
    </xf>
  </cellXfs>
  <cellStyles count="3">
    <cellStyle name="Normal" xfId="1"/>
    <cellStyle name="常规" xfId="0" builtinId="0"/>
    <cellStyle name="常规_街镇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"/>
  <sheetViews>
    <sheetView showZeros="0" workbookViewId="0">
      <selection activeCell="D11" sqref="D11"/>
    </sheetView>
  </sheetViews>
  <sheetFormatPr defaultRowHeight="14.25" x14ac:dyDescent="0.15"/>
  <cols>
    <col min="1" max="1" width="22.625" customWidth="1"/>
    <col min="2" max="2" width="14" customWidth="1"/>
    <col min="3" max="3" width="17.625" customWidth="1"/>
    <col min="4" max="4" width="15.375" customWidth="1"/>
    <col min="5" max="5" width="12.625" customWidth="1"/>
    <col min="6" max="6" width="14.125" customWidth="1"/>
  </cols>
  <sheetData>
    <row r="1" spans="1:10" ht="50.1" customHeight="1" x14ac:dyDescent="0.15">
      <c r="A1" s="170" t="s">
        <v>92</v>
      </c>
      <c r="B1" s="171"/>
      <c r="C1" s="171"/>
      <c r="D1" s="171"/>
      <c r="E1" s="171"/>
      <c r="F1" s="171"/>
      <c r="G1" s="171"/>
    </row>
    <row r="2" spans="1:10" s="23" customFormat="1" ht="30" customHeight="1" thickBot="1" x14ac:dyDescent="0.3">
      <c r="A2" s="20" t="s">
        <v>29</v>
      </c>
      <c r="B2" s="21"/>
      <c r="C2" s="22"/>
      <c r="D2" s="22"/>
      <c r="E2" s="22"/>
      <c r="F2" s="172" t="s">
        <v>30</v>
      </c>
      <c r="G2" s="172"/>
    </row>
    <row r="3" spans="1:10" ht="35.1" customHeight="1" thickTop="1" thickBot="1" x14ac:dyDescent="0.2">
      <c r="A3" s="78" t="s">
        <v>20</v>
      </c>
      <c r="B3" s="79" t="s">
        <v>31</v>
      </c>
      <c r="C3" s="79" t="s">
        <v>21</v>
      </c>
      <c r="D3" s="79" t="s">
        <v>22</v>
      </c>
      <c r="E3" s="79" t="s">
        <v>23</v>
      </c>
      <c r="F3" s="79" t="s">
        <v>79</v>
      </c>
      <c r="G3" s="24" t="s">
        <v>24</v>
      </c>
    </row>
    <row r="4" spans="1:10" ht="20.100000000000001" customHeight="1" thickTop="1" x14ac:dyDescent="0.15">
      <c r="A4" s="80" t="s">
        <v>25</v>
      </c>
      <c r="B4" s="116">
        <f>327+189+665+626+590+575+495+504</f>
        <v>3971</v>
      </c>
      <c r="C4" s="105">
        <f>1922.214556+540.395853+1576.657343+2810.595948+1973.715228+3176.958825+2901.29917+2774.109837</f>
        <v>17675.946759999999</v>
      </c>
      <c r="D4" s="105">
        <f>1883.814556+506.215853+1536.167343+2632.63623+1909.247628+3141.313925+2784.92937+2686.482137</f>
        <v>17080.807042</v>
      </c>
      <c r="E4" s="123">
        <f>C4-D4</f>
        <v>595.13971799999854</v>
      </c>
      <c r="F4" s="124">
        <f t="shared" ref="F4:F9" si="0">E4/C4*100</f>
        <v>3.36694676715579</v>
      </c>
      <c r="G4" s="94"/>
      <c r="H4" s="92"/>
      <c r="I4" s="92"/>
      <c r="J4" s="92"/>
    </row>
    <row r="5" spans="1:10" ht="35.1" customHeight="1" thickBot="1" x14ac:dyDescent="0.2">
      <c r="A5" s="81" t="s">
        <v>80</v>
      </c>
      <c r="B5" s="119">
        <f>319+186+659+521+95+498+86+487+80+424+53+437+56</f>
        <v>3901</v>
      </c>
      <c r="C5" s="115">
        <f>312.963466+58.49109+237.424853+11.171+658.469003+63.48834+1129.819158+76.87679+900.850148+63.90948+847.574105+101.82122+761.64111+18.83036+1129.025817+37.30902</f>
        <v>6409.6649599999992</v>
      </c>
      <c r="D5" s="115">
        <f>312.963466+58.49109+237.424853+11.171+658.469003+63.48834+1129.819158+76.87679+900.850148+63.90948+847.574105+101.82122+761.64111+18.83036+1129.025817+37.30902</f>
        <v>6409.6649599999992</v>
      </c>
      <c r="E5" s="125">
        <f>C5-D5</f>
        <v>0</v>
      </c>
      <c r="F5" s="126">
        <f t="shared" si="0"/>
        <v>0</v>
      </c>
      <c r="G5" s="91"/>
      <c r="H5" s="92"/>
      <c r="I5" s="92"/>
      <c r="J5" s="92"/>
    </row>
    <row r="6" spans="1:10" ht="35.1" customHeight="1" thickTop="1" thickBot="1" x14ac:dyDescent="0.2">
      <c r="A6" s="82" t="s">
        <v>26</v>
      </c>
      <c r="B6" s="117">
        <f>10+9+10+16+5+21+52+10</f>
        <v>133</v>
      </c>
      <c r="C6" s="121">
        <f>15726.9082+14667.5879+25779.47+21035.09688+12973.2278+16892.8609+12940.6503+18999.0973</f>
        <v>139014.89928000001</v>
      </c>
      <c r="D6" s="127">
        <f>14685.333809+14070.6147+24299.410854+19812.6663+12383.0609+16131.482677+12410.350155+18927.960959</f>
        <v>132720.88035399999</v>
      </c>
      <c r="E6" s="128">
        <f>C6-D6</f>
        <v>6294.0189260000188</v>
      </c>
      <c r="F6" s="129">
        <f t="shared" si="0"/>
        <v>4.5275858620900609</v>
      </c>
      <c r="G6" s="93"/>
      <c r="H6" s="92"/>
      <c r="I6" s="92"/>
      <c r="J6" s="92"/>
    </row>
    <row r="7" spans="1:10" ht="20.100000000000001" customHeight="1" thickTop="1" x14ac:dyDescent="0.15">
      <c r="A7" s="80" t="s">
        <v>27</v>
      </c>
      <c r="B7" s="118">
        <f>41+16+63+38+64+46+97+63</f>
        <v>428</v>
      </c>
      <c r="C7" s="122">
        <f>10278.794218+827.822625+5513.718497+1335.812588+9718.402663+4689.933602+12682.711095+5772.623266</f>
        <v>50819.818554000005</v>
      </c>
      <c r="D7" s="122">
        <f>10071.860749+811.725106+4788.486053+1275.661078+9122.125273+4524.636342+11669.611492+5550.618752</f>
        <v>47814.724844999997</v>
      </c>
      <c r="E7" s="130">
        <f>C7-D7</f>
        <v>3005.0937090000079</v>
      </c>
      <c r="F7" s="131">
        <f t="shared" si="0"/>
        <v>5.9132318739132499</v>
      </c>
      <c r="G7" s="94"/>
      <c r="H7" s="92"/>
      <c r="I7" s="92"/>
      <c r="J7" s="92"/>
    </row>
    <row r="8" spans="1:10" ht="35.1" customHeight="1" thickBot="1" x14ac:dyDescent="0.2">
      <c r="A8" s="81" t="s">
        <v>80</v>
      </c>
      <c r="B8" s="119">
        <f>16+8+26+22+1+26+16+24+22</f>
        <v>161</v>
      </c>
      <c r="C8" s="115">
        <f>9.678218+17.446225+27.618497+27.224388+0.374459+47.737024+10.916502+13.750914+12.379766</f>
        <v>167.12599299999999</v>
      </c>
      <c r="D8" s="115">
        <f>9.678218+17.446225+27.618497+27.224388+0.374459+47.737024+10.916502+13.750914+12.379766</f>
        <v>167.12599299999999</v>
      </c>
      <c r="E8" s="125">
        <f>C8-D8</f>
        <v>0</v>
      </c>
      <c r="F8" s="126">
        <f t="shared" si="0"/>
        <v>0</v>
      </c>
      <c r="G8" s="91"/>
      <c r="H8" s="92"/>
    </row>
    <row r="9" spans="1:10" ht="20.25" thickTop="1" thickBot="1" x14ac:dyDescent="0.2">
      <c r="A9" s="83" t="s">
        <v>28</v>
      </c>
      <c r="B9" s="120">
        <f>SUM(B4,B6,B7)</f>
        <v>4532</v>
      </c>
      <c r="C9" s="132">
        <f>SUM(C4,C6,C7)</f>
        <v>207510.664594</v>
      </c>
      <c r="D9" s="132">
        <f>SUM(D4,D6,D7)</f>
        <v>197616.41224099998</v>
      </c>
      <c r="E9" s="132">
        <f>SUM(E4,E6,E7)</f>
        <v>9894.2523530000253</v>
      </c>
      <c r="F9" s="133">
        <f t="shared" si="0"/>
        <v>4.7680693290431053</v>
      </c>
      <c r="G9" s="95"/>
      <c r="H9" s="92"/>
    </row>
    <row r="10" spans="1:10" ht="15" thickTop="1" x14ac:dyDescent="0.15"/>
    <row r="11" spans="1:10" s="27" customFormat="1" ht="18.75" x14ac:dyDescent="0.25">
      <c r="A11" s="168"/>
      <c r="B11" s="168"/>
      <c r="C11" s="25"/>
      <c r="D11" s="26"/>
      <c r="E11" s="25"/>
      <c r="F11" s="169" t="s">
        <v>89</v>
      </c>
      <c r="G11" s="169"/>
    </row>
    <row r="12" spans="1:10" s="3" customFormat="1" ht="18.75" x14ac:dyDescent="0.25">
      <c r="A12" s="19"/>
      <c r="B12" s="19"/>
      <c r="C12" s="4"/>
      <c r="D12" s="7"/>
      <c r="E12" s="4"/>
      <c r="F12" s="18"/>
      <c r="G12" s="18"/>
    </row>
    <row r="13" spans="1:10" x14ac:dyDescent="0.15">
      <c r="A13" s="28" t="s">
        <v>32</v>
      </c>
    </row>
  </sheetData>
  <mergeCells count="4">
    <mergeCell ref="A11:B11"/>
    <mergeCell ref="F11:G11"/>
    <mergeCell ref="A1:G1"/>
    <mergeCell ref="F2:G2"/>
  </mergeCells>
  <phoneticPr fontId="1" type="noConversion"/>
  <pageMargins left="1.68" right="0.75" top="0.9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showZeros="0" workbookViewId="0">
      <selection activeCell="E12" sqref="E12"/>
    </sheetView>
  </sheetViews>
  <sheetFormatPr defaultRowHeight="14.25" x14ac:dyDescent="0.15"/>
  <cols>
    <col min="1" max="1" width="11.875" style="3" customWidth="1"/>
    <col min="2" max="2" width="8.75" style="14" customWidth="1"/>
    <col min="3" max="3" width="14" style="3" customWidth="1"/>
    <col min="4" max="4" width="14.625" style="3" customWidth="1"/>
    <col min="5" max="5" width="13.625" style="3" customWidth="1"/>
    <col min="6" max="6" width="16.375" style="3" customWidth="1"/>
    <col min="7" max="7" width="13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76" t="s">
        <v>93</v>
      </c>
      <c r="B1" s="177"/>
      <c r="C1" s="177"/>
      <c r="D1" s="177"/>
      <c r="E1" s="177"/>
      <c r="F1" s="177"/>
      <c r="G1" s="177"/>
      <c r="H1" s="177"/>
    </row>
    <row r="2" spans="1:9" x14ac:dyDescent="0.15">
      <c r="A2" s="2"/>
      <c r="C2" s="2"/>
      <c r="D2" s="2"/>
      <c r="E2" s="2"/>
      <c r="F2" s="2"/>
      <c r="G2" s="2"/>
      <c r="H2" s="2"/>
    </row>
    <row r="3" spans="1:9" ht="19.5" thickBot="1" x14ac:dyDescent="0.3">
      <c r="A3" s="4" t="s">
        <v>16</v>
      </c>
      <c r="G3" s="180" t="s">
        <v>17</v>
      </c>
      <c r="H3" s="180"/>
    </row>
    <row r="4" spans="1:9" ht="21" customHeight="1" x14ac:dyDescent="0.25">
      <c r="A4" s="178" t="s">
        <v>14</v>
      </c>
      <c r="B4" s="174" t="s">
        <v>13</v>
      </c>
      <c r="C4" s="175"/>
      <c r="D4" s="175"/>
      <c r="E4" s="182" t="s">
        <v>9</v>
      </c>
      <c r="F4" s="175"/>
      <c r="G4" s="175"/>
      <c r="H4" s="175"/>
      <c r="I4" s="183"/>
    </row>
    <row r="5" spans="1:9" ht="29.25" thickBot="1" x14ac:dyDescent="0.2">
      <c r="A5" s="179"/>
      <c r="B5" s="66" t="s">
        <v>0</v>
      </c>
      <c r="C5" s="67" t="s">
        <v>7</v>
      </c>
      <c r="D5" s="68" t="s">
        <v>10</v>
      </c>
      <c r="E5" s="69" t="s">
        <v>0</v>
      </c>
      <c r="F5" s="70" t="s">
        <v>8</v>
      </c>
      <c r="G5" s="71" t="s">
        <v>11</v>
      </c>
      <c r="H5" s="70" t="s">
        <v>1</v>
      </c>
      <c r="I5" s="72" t="s">
        <v>2</v>
      </c>
    </row>
    <row r="6" spans="1:9" s="17" customFormat="1" ht="15.75" thickTop="1" thickBot="1" x14ac:dyDescent="0.2">
      <c r="A6" s="73"/>
      <c r="B6" s="65">
        <v>1</v>
      </c>
      <c r="C6" s="65">
        <v>2</v>
      </c>
      <c r="D6" s="65">
        <v>3</v>
      </c>
      <c r="E6" s="65">
        <v>4</v>
      </c>
      <c r="F6" s="74">
        <v>5</v>
      </c>
      <c r="G6" s="74">
        <v>6</v>
      </c>
      <c r="H6" s="74">
        <v>7</v>
      </c>
      <c r="I6" s="75">
        <v>8</v>
      </c>
    </row>
    <row r="7" spans="1:9" ht="39.950000000000003" customHeight="1" thickTop="1" x14ac:dyDescent="0.15">
      <c r="A7" s="76" t="s">
        <v>3</v>
      </c>
      <c r="B7" s="104">
        <v>504</v>
      </c>
      <c r="C7" s="105">
        <v>2774.109837</v>
      </c>
      <c r="D7" s="105">
        <v>2686.482137</v>
      </c>
      <c r="E7" s="104">
        <f>327+189+665+626+590+575+495+504</f>
        <v>3971</v>
      </c>
      <c r="F7" s="105">
        <f>1922.214556+540.395853+1576.657343+2810.595948+1973.715228+3176.958825+2901.29917+2774.109837</f>
        <v>17675.946759999999</v>
      </c>
      <c r="G7" s="105">
        <f>1883.814556+506.215853+1536.167343+2632.63623+1909.247628+3141.313925+2784.92937+2686.482137</f>
        <v>17080.807042</v>
      </c>
      <c r="H7" s="107">
        <f>F7-G7</f>
        <v>595.13971799999854</v>
      </c>
      <c r="I7" s="108">
        <f>H7/F7*100</f>
        <v>3.36694676715579</v>
      </c>
    </row>
    <row r="8" spans="1:9" ht="39.950000000000003" customHeight="1" x14ac:dyDescent="0.15">
      <c r="A8" s="76" t="s">
        <v>4</v>
      </c>
      <c r="B8" s="104">
        <v>10</v>
      </c>
      <c r="C8" s="104">
        <v>18999.097300000001</v>
      </c>
      <c r="D8" s="104">
        <v>18927.960959</v>
      </c>
      <c r="E8" s="104">
        <f>10+9+10+16+5+21+52+10</f>
        <v>133</v>
      </c>
      <c r="F8" s="104">
        <f>15726.9082+14667.5879+25779.47+21035.09688+12973.2278+16892.8609+12940.6503+18999.0973</f>
        <v>139014.89928000001</v>
      </c>
      <c r="G8" s="104">
        <f>14685.333809+14070.6147+24299.410854+19812.6663+12383.0609+16131.482677+12410.35016+18927.960959</f>
        <v>132720.880359</v>
      </c>
      <c r="H8" s="109">
        <f>F8-G8</f>
        <v>6294.0189210000099</v>
      </c>
      <c r="I8" s="110">
        <f>H8/F8*100</f>
        <v>4.5275858584933184</v>
      </c>
    </row>
    <row r="9" spans="1:9" ht="39.950000000000003" customHeight="1" x14ac:dyDescent="0.15">
      <c r="A9" s="76" t="s">
        <v>5</v>
      </c>
      <c r="B9" s="104">
        <v>63</v>
      </c>
      <c r="C9" s="104">
        <v>5772.6232659999996</v>
      </c>
      <c r="D9" s="106">
        <v>5550.6187520000003</v>
      </c>
      <c r="E9" s="104">
        <f>41+16+63+38+64+46+97+63</f>
        <v>428</v>
      </c>
      <c r="F9" s="104">
        <f>10278.794218+827.822625+5513.718497+1335.812588+9718.402663+4689.933602+12682.7111+5772.623266</f>
        <v>50819.818558999999</v>
      </c>
      <c r="G9" s="106">
        <f>10071.860749+811.725106+4788.486053+1275.661078+9122.125273+4524.636342+11669.61149+5550.618752</f>
        <v>47814.724842999996</v>
      </c>
      <c r="H9" s="109">
        <f>F9-G9</f>
        <v>3005.093716000003</v>
      </c>
      <c r="I9" s="110">
        <f>H9/F9*100</f>
        <v>5.9132318871056109</v>
      </c>
    </row>
    <row r="10" spans="1:9" s="10" customFormat="1" ht="39.950000000000003" customHeight="1" thickBot="1" x14ac:dyDescent="0.2">
      <c r="A10" s="77" t="s">
        <v>6</v>
      </c>
      <c r="B10" s="111">
        <f>SUM(B7:B9)</f>
        <v>577</v>
      </c>
      <c r="C10" s="112">
        <f t="shared" ref="C10:H10" si="0">SUM(C7:C9)</f>
        <v>27545.830403</v>
      </c>
      <c r="D10" s="112">
        <f t="shared" si="0"/>
        <v>27165.061847999998</v>
      </c>
      <c r="E10" s="113">
        <f t="shared" si="0"/>
        <v>4532</v>
      </c>
      <c r="F10" s="112">
        <f t="shared" si="0"/>
        <v>207510.66459900001</v>
      </c>
      <c r="G10" s="112">
        <f t="shared" si="0"/>
        <v>197616.41224400001</v>
      </c>
      <c r="H10" s="112">
        <f t="shared" si="0"/>
        <v>9894.2523550000114</v>
      </c>
      <c r="I10" s="114">
        <f>H10/F10*100</f>
        <v>4.7680693298920174</v>
      </c>
    </row>
    <row r="12" spans="1:9" s="7" customFormat="1" x14ac:dyDescent="0.15">
      <c r="A12" s="181"/>
      <c r="B12" s="181"/>
      <c r="E12" s="3"/>
      <c r="G12" s="184" t="s">
        <v>88</v>
      </c>
      <c r="H12" s="185"/>
      <c r="I12" s="185"/>
    </row>
    <row r="14" spans="1:9" ht="18.75" x14ac:dyDescent="0.25">
      <c r="A14" s="173" t="s">
        <v>12</v>
      </c>
      <c r="B14" s="173"/>
      <c r="C14" s="173"/>
    </row>
    <row r="15" spans="1:9" x14ac:dyDescent="0.15">
      <c r="A15" s="3" t="s">
        <v>15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workbookViewId="0">
      <selection activeCell="H19" sqref="H19"/>
    </sheetView>
  </sheetViews>
  <sheetFormatPr defaultRowHeight="14.25" x14ac:dyDescent="0.15"/>
  <cols>
    <col min="1" max="1" width="9" style="3"/>
    <col min="2" max="2" width="6.125" style="3" customWidth="1"/>
    <col min="3" max="5" width="6.125" style="13" customWidth="1"/>
    <col min="6" max="6" width="10.625" style="3" customWidth="1"/>
    <col min="7" max="7" width="9.5" style="3" bestFit="1" customWidth="1"/>
    <col min="8" max="8" width="10.25" style="3" customWidth="1"/>
    <col min="9" max="9" width="9.375" style="3" customWidth="1"/>
    <col min="10" max="10" width="11" style="3" customWidth="1"/>
    <col min="11" max="11" width="13.375" style="3" customWidth="1"/>
    <col min="12" max="12" width="12" style="3" customWidth="1"/>
    <col min="13" max="13" width="11.3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76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9" ht="27" customHeight="1" x14ac:dyDescent="0.15">
      <c r="M2" s="3" t="s">
        <v>37</v>
      </c>
    </row>
    <row r="3" spans="1:19" ht="23.25" customHeight="1" x14ac:dyDescent="0.15">
      <c r="A3" s="186" t="s">
        <v>38</v>
      </c>
      <c r="B3" s="191" t="s">
        <v>39</v>
      </c>
      <c r="C3" s="192"/>
      <c r="D3" s="192"/>
      <c r="E3" s="193"/>
      <c r="F3" s="188" t="s">
        <v>40</v>
      </c>
      <c r="G3" s="189"/>
      <c r="H3" s="189"/>
      <c r="I3" s="190"/>
      <c r="J3" s="188" t="s">
        <v>41</v>
      </c>
      <c r="K3" s="189"/>
      <c r="L3" s="189"/>
      <c r="M3" s="190"/>
    </row>
    <row r="4" spans="1:19" ht="18" customHeight="1" x14ac:dyDescent="0.15">
      <c r="A4" s="187"/>
      <c r="B4" s="40" t="s">
        <v>42</v>
      </c>
      <c r="C4" s="37" t="s">
        <v>43</v>
      </c>
      <c r="D4" s="38" t="s">
        <v>44</v>
      </c>
      <c r="E4" s="38" t="s">
        <v>45</v>
      </c>
      <c r="F4" s="32" t="s">
        <v>42</v>
      </c>
      <c r="G4" s="32" t="s">
        <v>43</v>
      </c>
      <c r="H4" s="32" t="s">
        <v>44</v>
      </c>
      <c r="I4" s="32" t="s">
        <v>45</v>
      </c>
      <c r="J4" s="32" t="s">
        <v>42</v>
      </c>
      <c r="K4" s="32" t="s">
        <v>43</v>
      </c>
      <c r="L4" s="32" t="s">
        <v>44</v>
      </c>
      <c r="M4" s="32" t="s">
        <v>45</v>
      </c>
      <c r="O4" s="8"/>
      <c r="P4" s="8"/>
      <c r="Q4" s="8"/>
    </row>
    <row r="5" spans="1:19" s="42" customFormat="1" ht="22.5" customHeight="1" x14ac:dyDescent="0.15">
      <c r="A5" s="52" t="s">
        <v>46</v>
      </c>
      <c r="B5" s="134">
        <f t="shared" ref="B5:B16" si="0">SUM(C5:E5)</f>
        <v>10</v>
      </c>
      <c r="C5" s="134">
        <v>7</v>
      </c>
      <c r="D5" s="134"/>
      <c r="E5" s="134">
        <v>3</v>
      </c>
      <c r="F5" s="135">
        <f t="shared" ref="F5:F16" si="1">SUM(G5:I5)</f>
        <v>906.68820000000005</v>
      </c>
      <c r="G5" s="135">
        <v>8.0823999999999998</v>
      </c>
      <c r="H5" s="136"/>
      <c r="I5" s="136">
        <v>898.60580000000004</v>
      </c>
      <c r="J5" s="135">
        <f t="shared" ref="J5:J16" si="2">SUM(K5:M5)</f>
        <v>901.28269999999998</v>
      </c>
      <c r="K5" s="135">
        <v>8.0823999999999998</v>
      </c>
      <c r="L5" s="136"/>
      <c r="M5" s="136">
        <v>893.20029999999997</v>
      </c>
      <c r="N5" s="41"/>
      <c r="O5" s="41"/>
      <c r="P5" s="41"/>
      <c r="Q5" s="41"/>
      <c r="R5" s="41"/>
      <c r="S5" s="41"/>
    </row>
    <row r="6" spans="1:19" s="42" customFormat="1" ht="22.5" customHeight="1" x14ac:dyDescent="0.15">
      <c r="A6" s="52" t="s">
        <v>47</v>
      </c>
      <c r="B6" s="134">
        <f t="shared" si="0"/>
        <v>3</v>
      </c>
      <c r="C6" s="134">
        <v>3</v>
      </c>
      <c r="D6" s="134"/>
      <c r="E6" s="134"/>
      <c r="F6" s="136">
        <f>SUM(G6:I6)</f>
        <v>115.657</v>
      </c>
      <c r="G6" s="135">
        <v>115.657</v>
      </c>
      <c r="H6" s="136"/>
      <c r="I6" s="136"/>
      <c r="J6" s="136">
        <f t="shared" si="2"/>
        <v>114.9145</v>
      </c>
      <c r="K6" s="135">
        <v>114.9145</v>
      </c>
      <c r="L6" s="136"/>
      <c r="M6" s="136"/>
      <c r="N6" s="41"/>
      <c r="O6" s="41"/>
      <c r="P6" s="41"/>
      <c r="Q6" s="41"/>
      <c r="R6" s="41"/>
      <c r="S6" s="53"/>
    </row>
    <row r="7" spans="1:19" s="42" customFormat="1" ht="22.5" customHeight="1" x14ac:dyDescent="0.15">
      <c r="A7" s="52" t="s">
        <v>48</v>
      </c>
      <c r="B7" s="134">
        <f t="shared" si="0"/>
        <v>6</v>
      </c>
      <c r="C7" s="134">
        <v>6</v>
      </c>
      <c r="D7" s="134"/>
      <c r="E7" s="134"/>
      <c r="F7" s="135">
        <f t="shared" si="1"/>
        <v>265.47430000000003</v>
      </c>
      <c r="G7" s="135">
        <v>265.47430000000003</v>
      </c>
      <c r="H7" s="136"/>
      <c r="I7" s="136"/>
      <c r="J7" s="135">
        <f t="shared" si="2"/>
        <v>262.21899999999999</v>
      </c>
      <c r="K7" s="135">
        <v>262.21899999999999</v>
      </c>
      <c r="L7" s="136"/>
      <c r="M7" s="136"/>
      <c r="N7" s="41"/>
      <c r="O7" s="41"/>
      <c r="P7" s="41"/>
      <c r="Q7" s="41"/>
      <c r="R7" s="41"/>
      <c r="S7" s="41"/>
    </row>
    <row r="8" spans="1:19" s="42" customFormat="1" ht="22.5" customHeight="1" x14ac:dyDescent="0.15">
      <c r="A8" s="52" t="s">
        <v>49</v>
      </c>
      <c r="B8" s="134">
        <f t="shared" si="0"/>
        <v>16</v>
      </c>
      <c r="C8" s="134">
        <v>16</v>
      </c>
      <c r="D8" s="134"/>
      <c r="E8" s="134"/>
      <c r="F8" s="135">
        <f t="shared" si="1"/>
        <v>18.004799999999999</v>
      </c>
      <c r="G8" s="135">
        <v>18.004799999999999</v>
      </c>
      <c r="H8" s="136"/>
      <c r="I8" s="136"/>
      <c r="J8" s="135">
        <f t="shared" si="2"/>
        <v>18.004799999999999</v>
      </c>
      <c r="K8" s="135">
        <v>18.004799999999999</v>
      </c>
      <c r="L8" s="136"/>
      <c r="M8" s="136"/>
      <c r="N8" s="41"/>
      <c r="O8" s="41"/>
      <c r="P8" s="41"/>
      <c r="Q8" s="41"/>
      <c r="R8" s="41"/>
      <c r="S8" s="41"/>
    </row>
    <row r="9" spans="1:19" s="42" customFormat="1" ht="22.5" customHeight="1" x14ac:dyDescent="0.15">
      <c r="A9" s="52" t="s">
        <v>50</v>
      </c>
      <c r="B9" s="134">
        <f t="shared" si="0"/>
        <v>14</v>
      </c>
      <c r="C9" s="134">
        <v>11</v>
      </c>
      <c r="D9" s="134"/>
      <c r="E9" s="134">
        <v>3</v>
      </c>
      <c r="F9" s="135">
        <f t="shared" si="1"/>
        <v>327.17899999999997</v>
      </c>
      <c r="G9" s="135">
        <v>7.8982000000000001</v>
      </c>
      <c r="H9" s="136"/>
      <c r="I9" s="136">
        <v>319.2808</v>
      </c>
      <c r="J9" s="135">
        <f t="shared" si="2"/>
        <v>327.17899999999997</v>
      </c>
      <c r="K9" s="135">
        <v>7.8982000000000001</v>
      </c>
      <c r="L9" s="136"/>
      <c r="M9" s="136">
        <v>319.2808</v>
      </c>
      <c r="N9" s="41"/>
      <c r="O9" s="41"/>
      <c r="P9" s="41"/>
      <c r="Q9" s="41"/>
      <c r="R9" s="41"/>
      <c r="S9" s="41"/>
    </row>
    <row r="10" spans="1:19" s="42" customFormat="1" ht="22.5" customHeight="1" x14ac:dyDescent="0.15">
      <c r="A10" s="96" t="s">
        <v>51</v>
      </c>
      <c r="B10" s="134">
        <f t="shared" si="0"/>
        <v>29</v>
      </c>
      <c r="C10" s="134">
        <v>24</v>
      </c>
      <c r="D10" s="134"/>
      <c r="E10" s="134">
        <v>5</v>
      </c>
      <c r="F10" s="136">
        <f t="shared" si="1"/>
        <v>252.9427</v>
      </c>
      <c r="G10" s="136">
        <v>13.8058</v>
      </c>
      <c r="H10" s="137"/>
      <c r="I10" s="136">
        <v>239.1369</v>
      </c>
      <c r="J10" s="136">
        <f t="shared" si="2"/>
        <v>247.26230000000001</v>
      </c>
      <c r="K10" s="136">
        <v>13.8058</v>
      </c>
      <c r="L10" s="137"/>
      <c r="M10" s="136">
        <v>233.45650000000001</v>
      </c>
      <c r="N10" s="41"/>
      <c r="O10" s="41"/>
      <c r="P10" s="41"/>
      <c r="Q10" s="41"/>
      <c r="R10" s="41"/>
      <c r="S10" s="41"/>
    </row>
    <row r="11" spans="1:19" s="42" customFormat="1" ht="22.5" customHeight="1" x14ac:dyDescent="0.15">
      <c r="A11" s="52" t="s">
        <v>52</v>
      </c>
      <c r="B11" s="134">
        <f t="shared" si="0"/>
        <v>32</v>
      </c>
      <c r="C11" s="134">
        <v>32</v>
      </c>
      <c r="D11" s="134"/>
      <c r="E11" s="134"/>
      <c r="F11" s="135">
        <f>SUM(G11:I11)</f>
        <v>31.119299999999999</v>
      </c>
      <c r="G11" s="135">
        <v>31.119299999999999</v>
      </c>
      <c r="H11" s="136"/>
      <c r="I11" s="136"/>
      <c r="J11" s="135">
        <f t="shared" si="2"/>
        <v>31.119299999999999</v>
      </c>
      <c r="K11" s="135">
        <v>31.119299999999999</v>
      </c>
      <c r="L11" s="136"/>
      <c r="M11" s="136"/>
      <c r="N11" s="87"/>
      <c r="O11" s="41"/>
      <c r="P11" s="41"/>
      <c r="Q11" s="41"/>
      <c r="R11" s="41"/>
      <c r="S11" s="41"/>
    </row>
    <row r="12" spans="1:19" s="42" customFormat="1" ht="22.5" customHeight="1" x14ac:dyDescent="0.15">
      <c r="A12" s="52" t="s">
        <v>53</v>
      </c>
      <c r="B12" s="134">
        <f t="shared" si="0"/>
        <v>40</v>
      </c>
      <c r="C12" s="134">
        <v>40</v>
      </c>
      <c r="D12" s="134"/>
      <c r="E12" s="134"/>
      <c r="F12" s="135">
        <f t="shared" si="1"/>
        <v>154.81960000000001</v>
      </c>
      <c r="G12" s="135">
        <v>154.81960000000001</v>
      </c>
      <c r="H12" s="138"/>
      <c r="I12" s="136"/>
      <c r="J12" s="135">
        <f t="shared" si="2"/>
        <v>154.81960000000001</v>
      </c>
      <c r="K12" s="135">
        <v>154.81960000000001</v>
      </c>
      <c r="L12" s="138"/>
      <c r="M12" s="136"/>
      <c r="N12" s="87"/>
      <c r="O12" s="41"/>
      <c r="P12" s="41"/>
      <c r="Q12" s="41"/>
      <c r="R12" s="41"/>
      <c r="S12" s="41"/>
    </row>
    <row r="13" spans="1:19" s="42" customFormat="1" ht="22.5" customHeight="1" x14ac:dyDescent="0.15">
      <c r="A13" s="52" t="s">
        <v>54</v>
      </c>
      <c r="B13" s="134">
        <f t="shared" si="0"/>
        <v>35</v>
      </c>
      <c r="C13" s="134">
        <v>31</v>
      </c>
      <c r="D13" s="134"/>
      <c r="E13" s="134">
        <v>4</v>
      </c>
      <c r="F13" s="135">
        <f t="shared" si="1"/>
        <v>1783.1861000000001</v>
      </c>
      <c r="G13" s="135">
        <v>32.1646</v>
      </c>
      <c r="H13" s="138"/>
      <c r="I13" s="136">
        <v>1751.0215000000001</v>
      </c>
      <c r="J13" s="135">
        <f t="shared" si="2"/>
        <v>1766.4877000000001</v>
      </c>
      <c r="K13" s="135">
        <v>32.1646</v>
      </c>
      <c r="L13" s="135"/>
      <c r="M13" s="136">
        <v>1734.3231000000001</v>
      </c>
      <c r="N13" s="87"/>
      <c r="O13" s="41"/>
      <c r="P13" s="41"/>
      <c r="Q13" s="41"/>
      <c r="R13" s="41"/>
      <c r="S13" s="41"/>
    </row>
    <row r="14" spans="1:19" s="42" customFormat="1" ht="22.5" customHeight="1" x14ac:dyDescent="0.15">
      <c r="A14" s="52" t="s">
        <v>55</v>
      </c>
      <c r="B14" s="134">
        <f t="shared" si="0"/>
        <v>21</v>
      </c>
      <c r="C14" s="134">
        <v>20</v>
      </c>
      <c r="D14" s="134"/>
      <c r="E14" s="134">
        <v>1</v>
      </c>
      <c r="F14" s="136">
        <f t="shared" si="1"/>
        <v>91.825599999999994</v>
      </c>
      <c r="G14" s="136">
        <v>11.8256</v>
      </c>
      <c r="H14" s="136"/>
      <c r="I14" s="136">
        <v>80</v>
      </c>
      <c r="J14" s="136">
        <f t="shared" si="2"/>
        <v>91.825599999999994</v>
      </c>
      <c r="K14" s="136">
        <v>11.8256</v>
      </c>
      <c r="L14" s="136"/>
      <c r="M14" s="139">
        <v>80</v>
      </c>
      <c r="N14" s="87"/>
      <c r="O14" s="41"/>
      <c r="P14" s="41"/>
      <c r="Q14" s="41"/>
      <c r="R14" s="41"/>
      <c r="S14" s="41"/>
    </row>
    <row r="15" spans="1:19" s="42" customFormat="1" ht="22.5" customHeight="1" x14ac:dyDescent="0.15">
      <c r="A15" s="52" t="s">
        <v>56</v>
      </c>
      <c r="B15" s="134">
        <f t="shared" si="0"/>
        <v>19</v>
      </c>
      <c r="C15" s="134">
        <v>17</v>
      </c>
      <c r="D15" s="134"/>
      <c r="E15" s="134">
        <v>2</v>
      </c>
      <c r="F15" s="136">
        <f t="shared" si="1"/>
        <v>211.3039</v>
      </c>
      <c r="G15" s="136">
        <v>28.142099999999999</v>
      </c>
      <c r="H15" s="138"/>
      <c r="I15" s="136">
        <v>183.1618</v>
      </c>
      <c r="J15" s="136">
        <f t="shared" si="2"/>
        <v>211.3039</v>
      </c>
      <c r="K15" s="136">
        <v>28.142099999999999</v>
      </c>
      <c r="L15" s="138"/>
      <c r="M15" s="136">
        <v>183.1618</v>
      </c>
      <c r="N15" s="87"/>
      <c r="O15" s="41"/>
      <c r="P15" s="41"/>
      <c r="Q15" s="41"/>
      <c r="R15" s="41"/>
      <c r="S15" s="41"/>
    </row>
    <row r="16" spans="1:19" s="42" customFormat="1" ht="22.5" customHeight="1" x14ac:dyDescent="0.15">
      <c r="A16" s="52" t="s">
        <v>57</v>
      </c>
      <c r="B16" s="134">
        <f t="shared" si="0"/>
        <v>8</v>
      </c>
      <c r="C16" s="134">
        <v>8</v>
      </c>
      <c r="D16" s="134"/>
      <c r="E16" s="134"/>
      <c r="F16" s="136">
        <f t="shared" si="1"/>
        <v>9.1045999999999996</v>
      </c>
      <c r="G16" s="136">
        <v>9.1045999999999996</v>
      </c>
      <c r="H16" s="136"/>
      <c r="I16" s="136"/>
      <c r="J16" s="136">
        <f t="shared" si="2"/>
        <v>9.1045999999999996</v>
      </c>
      <c r="K16" s="136">
        <v>9.1045999999999996</v>
      </c>
      <c r="L16" s="136"/>
      <c r="M16" s="136"/>
      <c r="N16" s="87"/>
      <c r="O16" s="41"/>
      <c r="P16" s="41"/>
      <c r="Q16" s="41"/>
      <c r="R16" s="41"/>
      <c r="S16" s="41"/>
    </row>
    <row r="17" spans="1:19" s="42" customFormat="1" ht="22.5" customHeight="1" x14ac:dyDescent="0.15">
      <c r="A17" s="54" t="s">
        <v>42</v>
      </c>
      <c r="B17" s="134">
        <f>SUM(B5:B16)</f>
        <v>233</v>
      </c>
      <c r="C17" s="134">
        <f>SUM(C5:C16)</f>
        <v>215</v>
      </c>
      <c r="D17" s="134">
        <f>SUM(D5:D16)</f>
        <v>0</v>
      </c>
      <c r="E17" s="134">
        <f>SUM(E5:E16)</f>
        <v>18</v>
      </c>
      <c r="F17" s="136">
        <f t="shared" ref="F17:M17" si="3">SUM(F5:F16)</f>
        <v>4167.3050999999996</v>
      </c>
      <c r="G17" s="136">
        <f t="shared" si="3"/>
        <v>696.09829999999999</v>
      </c>
      <c r="H17" s="136">
        <f t="shared" si="3"/>
        <v>0</v>
      </c>
      <c r="I17" s="136">
        <f t="shared" si="3"/>
        <v>3471.2067999999999</v>
      </c>
      <c r="J17" s="136">
        <f t="shared" si="3"/>
        <v>4135.5230000000001</v>
      </c>
      <c r="K17" s="136">
        <f t="shared" si="3"/>
        <v>692.10050000000001</v>
      </c>
      <c r="L17" s="136">
        <f t="shared" si="3"/>
        <v>0</v>
      </c>
      <c r="M17" s="136">
        <f t="shared" si="3"/>
        <v>3443.4224999999997</v>
      </c>
      <c r="O17" s="41"/>
      <c r="P17" s="41"/>
      <c r="Q17" s="41"/>
      <c r="R17" s="41"/>
      <c r="S17" s="41"/>
    </row>
    <row r="19" spans="1:19" s="7" customFormat="1" x14ac:dyDescent="0.15">
      <c r="A19" s="181"/>
      <c r="B19" s="181"/>
      <c r="C19" s="181"/>
      <c r="D19" s="31"/>
      <c r="E19" s="31"/>
      <c r="H19" s="84"/>
      <c r="J19" s="184" t="s">
        <v>90</v>
      </c>
      <c r="K19" s="185"/>
    </row>
  </sheetData>
  <mergeCells count="7">
    <mergeCell ref="J19:K19"/>
    <mergeCell ref="A1:M1"/>
    <mergeCell ref="A3:A4"/>
    <mergeCell ref="F3:I3"/>
    <mergeCell ref="J3:M3"/>
    <mergeCell ref="A19:C19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Zeros="0" workbookViewId="0">
      <selection activeCell="E12" sqref="E12"/>
    </sheetView>
  </sheetViews>
  <sheetFormatPr defaultRowHeight="14.25" x14ac:dyDescent="0.15"/>
  <cols>
    <col min="1" max="1" width="11.875" style="3" customWidth="1"/>
    <col min="2" max="2" width="8.75" style="13" customWidth="1"/>
    <col min="3" max="3" width="16.875" style="3" customWidth="1"/>
    <col min="4" max="4" width="15.5" style="3" customWidth="1"/>
    <col min="5" max="5" width="13.5" style="3" customWidth="1"/>
    <col min="6" max="7" width="16.375" style="3" customWidth="1"/>
    <col min="8" max="8" width="16.75" style="3" customWidth="1"/>
    <col min="9" max="9" width="10.375" style="3" customWidth="1"/>
    <col min="10" max="16384" width="9" style="3"/>
  </cols>
  <sheetData>
    <row r="1" spans="1:10" s="1" customFormat="1" ht="22.5" x14ac:dyDescent="0.25">
      <c r="A1" s="176" t="s">
        <v>95</v>
      </c>
      <c r="B1" s="177"/>
      <c r="C1" s="177"/>
      <c r="D1" s="177"/>
      <c r="E1" s="177"/>
      <c r="F1" s="177"/>
      <c r="G1" s="177"/>
      <c r="H1" s="177"/>
    </row>
    <row r="2" spans="1:10" x14ac:dyDescent="0.15">
      <c r="A2" s="2"/>
      <c r="B2" s="14"/>
      <c r="C2" s="2"/>
      <c r="D2" s="2"/>
      <c r="E2" s="2"/>
      <c r="F2" s="2"/>
      <c r="G2" s="2"/>
      <c r="H2" s="2"/>
    </row>
    <row r="3" spans="1:10" ht="19.5" thickBot="1" x14ac:dyDescent="0.3">
      <c r="A3" s="4" t="s">
        <v>58</v>
      </c>
      <c r="G3" s="200" t="s">
        <v>37</v>
      </c>
      <c r="H3" s="200"/>
    </row>
    <row r="4" spans="1:10" ht="21" customHeight="1" x14ac:dyDescent="0.25">
      <c r="A4" s="198" t="s">
        <v>59</v>
      </c>
      <c r="B4" s="195" t="s">
        <v>60</v>
      </c>
      <c r="C4" s="196"/>
      <c r="D4" s="197"/>
      <c r="E4" s="201" t="s">
        <v>9</v>
      </c>
      <c r="F4" s="202"/>
      <c r="G4" s="202"/>
      <c r="H4" s="202"/>
      <c r="I4" s="203"/>
    </row>
    <row r="5" spans="1:10" ht="38.25" customHeight="1" x14ac:dyDescent="0.15">
      <c r="A5" s="199"/>
      <c r="B5" s="61" t="s">
        <v>39</v>
      </c>
      <c r="C5" s="5" t="s">
        <v>40</v>
      </c>
      <c r="D5" s="56" t="s">
        <v>41</v>
      </c>
      <c r="E5" s="97" t="s">
        <v>0</v>
      </c>
      <c r="F5" s="98" t="s">
        <v>40</v>
      </c>
      <c r="G5" s="99" t="s">
        <v>34</v>
      </c>
      <c r="H5" s="98" t="s">
        <v>1</v>
      </c>
      <c r="I5" s="100" t="s">
        <v>2</v>
      </c>
    </row>
    <row r="6" spans="1:10" x14ac:dyDescent="0.15">
      <c r="A6" s="58"/>
      <c r="B6" s="62">
        <v>1</v>
      </c>
      <c r="C6" s="15">
        <v>2</v>
      </c>
      <c r="D6" s="57">
        <v>3</v>
      </c>
      <c r="E6" s="101">
        <v>4</v>
      </c>
      <c r="F6" s="102">
        <v>5</v>
      </c>
      <c r="G6" s="102">
        <v>6</v>
      </c>
      <c r="H6" s="102">
        <v>7</v>
      </c>
      <c r="I6" s="103">
        <v>8</v>
      </c>
    </row>
    <row r="7" spans="1:10" ht="39.950000000000003" customHeight="1" x14ac:dyDescent="0.15">
      <c r="A7" s="59" t="s">
        <v>43</v>
      </c>
      <c r="B7" s="140">
        <v>215</v>
      </c>
      <c r="C7" s="141">
        <v>696.1</v>
      </c>
      <c r="D7" s="142">
        <v>692.1</v>
      </c>
      <c r="E7" s="143">
        <f>136+90+254+200+243+212+282+215</f>
        <v>1632</v>
      </c>
      <c r="F7" s="141">
        <f>158.2+73.49+267.93+244.34+442.65+468.67+1910.1+696.1</f>
        <v>4261.4800000000005</v>
      </c>
      <c r="G7" s="141">
        <f>158.2+73.49+267.93+244.34+442.65+460.8+1880.17+692.1</f>
        <v>4219.68</v>
      </c>
      <c r="H7" s="141">
        <f>F7-G7</f>
        <v>41.800000000000182</v>
      </c>
      <c r="I7" s="144">
        <f>H7/F7*100</f>
        <v>0.98087988210669008</v>
      </c>
    </row>
    <row r="8" spans="1:10" ht="39.950000000000003" customHeight="1" x14ac:dyDescent="0.15">
      <c r="A8" s="59" t="s">
        <v>44</v>
      </c>
      <c r="B8" s="140"/>
      <c r="C8" s="141"/>
      <c r="D8" s="142"/>
      <c r="E8" s="143">
        <f>4+3+4+2+2+40</f>
        <v>55</v>
      </c>
      <c r="F8" s="141">
        <f>1385.84+12095.99+19045.6+2343+9200+14555.68</f>
        <v>58626.11</v>
      </c>
      <c r="G8" s="141">
        <f>1268.29+11579.36+17805.48+2343+8809.57+5442.73</f>
        <v>47248.430000000008</v>
      </c>
      <c r="H8" s="141">
        <f>F8-G8</f>
        <v>11377.679999999993</v>
      </c>
      <c r="I8" s="144">
        <f>H8/F8*100</f>
        <v>19.4071890493843</v>
      </c>
    </row>
    <row r="9" spans="1:10" ht="39.950000000000003" customHeight="1" x14ac:dyDescent="0.15">
      <c r="A9" s="59" t="s">
        <v>45</v>
      </c>
      <c r="B9" s="140">
        <v>18</v>
      </c>
      <c r="C9" s="141">
        <v>3471.21</v>
      </c>
      <c r="D9" s="142">
        <v>3443.42</v>
      </c>
      <c r="E9" s="143">
        <f>7+3+14+13+18+9+13+18</f>
        <v>95</v>
      </c>
      <c r="F9" s="141">
        <f>333.47+0.98+1714.58+445.17+1096.67+1118.24+812.38+3471.21</f>
        <v>8992.7000000000007</v>
      </c>
      <c r="G9" s="141">
        <f>331.34+0.98+1631.47+445.17+1073.52+1086.12+797.89+3443.42</f>
        <v>8809.91</v>
      </c>
      <c r="H9" s="141">
        <f>F9-G9</f>
        <v>182.79000000000087</v>
      </c>
      <c r="I9" s="144">
        <f>H9/F9*100</f>
        <v>2.0326487039487682</v>
      </c>
    </row>
    <row r="10" spans="1:10" ht="39.950000000000003" customHeight="1" thickBot="1" x14ac:dyDescent="0.2">
      <c r="A10" s="60" t="s">
        <v>42</v>
      </c>
      <c r="B10" s="145">
        <f t="shared" ref="B10" si="0">SUM(B7:B9)</f>
        <v>233</v>
      </c>
      <c r="C10" s="146">
        <f t="shared" ref="C10:H10" si="1">SUM(C7:C9)</f>
        <v>4167.3100000000004</v>
      </c>
      <c r="D10" s="147">
        <f t="shared" si="1"/>
        <v>4135.5200000000004</v>
      </c>
      <c r="E10" s="148">
        <f t="shared" si="1"/>
        <v>1782</v>
      </c>
      <c r="F10" s="146">
        <f t="shared" si="1"/>
        <v>71880.290000000008</v>
      </c>
      <c r="G10" s="146">
        <f t="shared" si="1"/>
        <v>60278.020000000004</v>
      </c>
      <c r="H10" s="146">
        <f t="shared" si="1"/>
        <v>11602.269999999993</v>
      </c>
      <c r="I10" s="149">
        <f>H10/F10*100</f>
        <v>16.141100710639861</v>
      </c>
      <c r="J10" s="88"/>
    </row>
    <row r="11" spans="1:10" ht="20.25" customHeight="1" x14ac:dyDescent="0.15"/>
    <row r="12" spans="1:10" s="7" customFormat="1" x14ac:dyDescent="0.15">
      <c r="A12" s="181"/>
      <c r="B12" s="181"/>
      <c r="E12" s="84"/>
      <c r="G12" s="184" t="s">
        <v>91</v>
      </c>
      <c r="H12" s="185"/>
      <c r="I12" s="185"/>
    </row>
    <row r="14" spans="1:10" ht="18.75" x14ac:dyDescent="0.25">
      <c r="A14" s="173" t="s">
        <v>61</v>
      </c>
      <c r="B14" s="194"/>
      <c r="C14" s="194"/>
    </row>
    <row r="15" spans="1:10" x14ac:dyDescent="0.15">
      <c r="A15" s="3" t="s">
        <v>62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0" sqref="C10"/>
    </sheetView>
  </sheetViews>
  <sheetFormatPr defaultRowHeight="14.25" x14ac:dyDescent="0.15"/>
  <cols>
    <col min="1" max="1" width="24.375" style="3" customWidth="1"/>
    <col min="2" max="2" width="10.125" style="3" customWidth="1"/>
    <col min="3" max="3" width="17" style="3" customWidth="1"/>
    <col min="4" max="4" width="23.625" style="3" customWidth="1"/>
    <col min="5" max="6" width="9" style="3"/>
    <col min="7" max="7" width="14.375" style="3" customWidth="1"/>
    <col min="8" max="8" width="20.75" style="3" customWidth="1"/>
    <col min="9" max="16384" width="9" style="3"/>
  </cols>
  <sheetData>
    <row r="1" spans="1:8" s="50" customFormat="1" ht="31.5" customHeight="1" x14ac:dyDescent="0.25">
      <c r="A1" s="204" t="s">
        <v>96</v>
      </c>
      <c r="B1" s="205"/>
      <c r="C1" s="205"/>
      <c r="D1" s="205"/>
    </row>
    <row r="2" spans="1:8" ht="18" customHeight="1" x14ac:dyDescent="0.15">
      <c r="A2" s="34"/>
      <c r="B2" s="34"/>
      <c r="C2" s="34"/>
      <c r="D2" s="35" t="s">
        <v>19</v>
      </c>
    </row>
    <row r="3" spans="1:8" ht="28.5" customHeight="1" x14ac:dyDescent="0.15">
      <c r="A3" s="33"/>
      <c r="B3" s="33" t="s">
        <v>0</v>
      </c>
      <c r="C3" s="33" t="s">
        <v>18</v>
      </c>
      <c r="D3" s="33" t="s">
        <v>34</v>
      </c>
    </row>
    <row r="4" spans="1:8" ht="24.95" customHeight="1" x14ac:dyDescent="0.15">
      <c r="A4" s="47" t="s">
        <v>3</v>
      </c>
      <c r="B4" s="150">
        <f>437+56</f>
        <v>493</v>
      </c>
      <c r="C4" s="153">
        <f>1129.025817+37.30902</f>
        <v>1166.3348369999999</v>
      </c>
      <c r="D4" s="152">
        <f>1129.025817+37.30902</f>
        <v>1166.3348369999999</v>
      </c>
      <c r="G4" s="11"/>
      <c r="H4" s="11"/>
    </row>
    <row r="5" spans="1:8" s="48" customFormat="1" ht="24.95" customHeight="1" x14ac:dyDescent="0.15">
      <c r="A5" s="43" t="s">
        <v>36</v>
      </c>
      <c r="B5" s="151">
        <v>213</v>
      </c>
      <c r="C5" s="153">
        <v>358.4984</v>
      </c>
      <c r="D5" s="153">
        <v>358.34983999999997</v>
      </c>
      <c r="G5" s="49"/>
      <c r="H5" s="49"/>
    </row>
    <row r="6" spans="1:8" ht="24.95" customHeight="1" x14ac:dyDescent="0.15">
      <c r="A6" s="47" t="s">
        <v>5</v>
      </c>
      <c r="B6" s="150">
        <v>22</v>
      </c>
      <c r="C6" s="153">
        <v>12.379766</v>
      </c>
      <c r="D6" s="152">
        <v>12.379766</v>
      </c>
      <c r="G6" s="12"/>
      <c r="H6" s="12"/>
    </row>
    <row r="7" spans="1:8" s="48" customFormat="1" ht="24.95" customHeight="1" x14ac:dyDescent="0.15">
      <c r="A7" s="43" t="s">
        <v>35</v>
      </c>
      <c r="B7" s="151">
        <v>2</v>
      </c>
      <c r="C7" s="153">
        <v>1.2676000000000001</v>
      </c>
      <c r="D7" s="152">
        <v>1.2676000000000001</v>
      </c>
      <c r="G7" s="12"/>
      <c r="H7" s="12"/>
    </row>
    <row r="8" spans="1:8" ht="24.95" customHeight="1" x14ac:dyDescent="0.15">
      <c r="A8" s="47" t="s">
        <v>6</v>
      </c>
      <c r="B8" s="154">
        <f>SUM(B4,B6)</f>
        <v>515</v>
      </c>
      <c r="C8" s="153">
        <f>SUM(C4,C6)</f>
        <v>1178.7146029999999</v>
      </c>
      <c r="D8" s="153">
        <f>SUM(D4,D6)</f>
        <v>1178.7146029999999</v>
      </c>
      <c r="G8" s="11"/>
      <c r="H8" s="11"/>
    </row>
    <row r="9" spans="1:8" ht="24.95" customHeight="1" x14ac:dyDescent="0.15">
      <c r="A9" s="44"/>
      <c r="B9" s="45"/>
      <c r="C9" s="46"/>
      <c r="D9" s="46"/>
      <c r="G9" s="11"/>
      <c r="H9" s="11"/>
    </row>
    <row r="10" spans="1:8" s="7" customFormat="1" x14ac:dyDescent="0.15">
      <c r="A10" s="51"/>
      <c r="B10" s="51"/>
      <c r="C10" s="84"/>
      <c r="D10" s="184" t="s">
        <v>99</v>
      </c>
      <c r="E10" s="185"/>
    </row>
    <row r="11" spans="1:8" ht="39" customHeight="1" x14ac:dyDescent="0.15"/>
    <row r="12" spans="1:8" ht="39" customHeight="1" x14ac:dyDescent="0.15"/>
    <row r="13" spans="1:8" ht="35.25" customHeight="1" x14ac:dyDescent="0.15"/>
  </sheetData>
  <mergeCells count="2">
    <mergeCell ref="A1:D1"/>
    <mergeCell ref="D10:E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5" sqref="A5:A20"/>
    </sheetView>
  </sheetViews>
  <sheetFormatPr defaultRowHeight="14.25" x14ac:dyDescent="0.15"/>
  <cols>
    <col min="1" max="1" width="9" style="1"/>
    <col min="2" max="2" width="5.75" style="1" customWidth="1"/>
    <col min="3" max="3" width="5.375" style="13" customWidth="1"/>
    <col min="4" max="4" width="5.5" style="13" customWidth="1"/>
    <col min="5" max="5" width="5.375" style="13" customWidth="1"/>
    <col min="6" max="6" width="9.875" style="3" customWidth="1"/>
    <col min="7" max="7" width="9.5" style="3" customWidth="1"/>
    <col min="8" max="8" width="9" style="3"/>
    <col min="9" max="9" width="11.375" style="3" customWidth="1"/>
    <col min="10" max="10" width="12.125" style="3" customWidth="1"/>
    <col min="11" max="11" width="12.625" style="3" customWidth="1"/>
    <col min="12" max="12" width="10.5" style="3" customWidth="1"/>
    <col min="13" max="13" width="12.8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24.75" customHeight="1" x14ac:dyDescent="0.25">
      <c r="A1" s="176" t="s">
        <v>97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9" ht="18" customHeight="1" x14ac:dyDescent="0.15">
      <c r="M2" s="3" t="s">
        <v>37</v>
      </c>
    </row>
    <row r="3" spans="1:19" s="1" customFormat="1" ht="23.25" customHeight="1" x14ac:dyDescent="0.15">
      <c r="A3" s="186" t="s">
        <v>63</v>
      </c>
      <c r="B3" s="191" t="s">
        <v>39</v>
      </c>
      <c r="C3" s="192"/>
      <c r="D3" s="192"/>
      <c r="E3" s="193"/>
      <c r="F3" s="188" t="s">
        <v>64</v>
      </c>
      <c r="G3" s="189"/>
      <c r="H3" s="189"/>
      <c r="I3" s="190"/>
      <c r="J3" s="188" t="s">
        <v>41</v>
      </c>
      <c r="K3" s="189"/>
      <c r="L3" s="189"/>
      <c r="M3" s="190"/>
    </row>
    <row r="4" spans="1:19" s="1" customFormat="1" ht="18" customHeight="1" x14ac:dyDescent="0.15">
      <c r="A4" s="187"/>
      <c r="B4" s="40" t="s">
        <v>42</v>
      </c>
      <c r="C4" s="37" t="s">
        <v>43</v>
      </c>
      <c r="D4" s="37" t="s">
        <v>44</v>
      </c>
      <c r="E4" s="37" t="s">
        <v>45</v>
      </c>
      <c r="F4" s="32" t="s">
        <v>42</v>
      </c>
      <c r="G4" s="32" t="s">
        <v>43</v>
      </c>
      <c r="H4" s="32" t="s">
        <v>44</v>
      </c>
      <c r="I4" s="32" t="s">
        <v>45</v>
      </c>
      <c r="J4" s="32" t="s">
        <v>42</v>
      </c>
      <c r="K4" s="32" t="s">
        <v>43</v>
      </c>
      <c r="L4" s="32" t="s">
        <v>44</v>
      </c>
      <c r="M4" s="32" t="s">
        <v>45</v>
      </c>
      <c r="O4" s="39"/>
      <c r="P4" s="39"/>
      <c r="Q4" s="39"/>
    </row>
    <row r="5" spans="1:19" ht="18.95" customHeight="1" x14ac:dyDescent="0.15">
      <c r="A5" s="29" t="s">
        <v>65</v>
      </c>
      <c r="B5" s="155"/>
      <c r="C5" s="155"/>
      <c r="D5" s="155"/>
      <c r="E5" s="155"/>
      <c r="F5" s="136"/>
      <c r="G5" s="135"/>
      <c r="H5" s="136"/>
      <c r="I5" s="136"/>
      <c r="J5" s="136"/>
      <c r="K5" s="135"/>
      <c r="L5" s="136"/>
      <c r="M5" s="136"/>
      <c r="N5" s="8"/>
      <c r="O5" s="8"/>
      <c r="P5" s="8"/>
      <c r="Q5" s="8"/>
      <c r="R5" s="8"/>
      <c r="S5" s="8"/>
    </row>
    <row r="6" spans="1:19" ht="18.95" customHeight="1" x14ac:dyDescent="0.15">
      <c r="A6" s="29" t="s">
        <v>66</v>
      </c>
      <c r="B6" s="155">
        <v>3</v>
      </c>
      <c r="C6" s="155">
        <v>2</v>
      </c>
      <c r="D6" s="155"/>
      <c r="E6" s="155">
        <v>1</v>
      </c>
      <c r="F6" s="136">
        <f>SUM(G6:I6)</f>
        <v>198.3</v>
      </c>
      <c r="G6" s="136">
        <v>138.30000000000001</v>
      </c>
      <c r="H6" s="136"/>
      <c r="I6" s="88">
        <v>60</v>
      </c>
      <c r="J6" s="136">
        <f>SUM(K6:M6)</f>
        <v>194.54000000000002</v>
      </c>
      <c r="K6" s="136">
        <v>137.74</v>
      </c>
      <c r="L6" s="136"/>
      <c r="M6" s="136">
        <v>56.8</v>
      </c>
      <c r="N6" s="8"/>
      <c r="O6" s="8"/>
      <c r="P6" s="8"/>
      <c r="Q6" s="8"/>
      <c r="R6" s="8"/>
      <c r="S6" s="9"/>
    </row>
    <row r="7" spans="1:19" ht="18.95" customHeight="1" x14ac:dyDescent="0.15">
      <c r="A7" s="29" t="s">
        <v>67</v>
      </c>
      <c r="B7" s="155">
        <v>2</v>
      </c>
      <c r="C7" s="155"/>
      <c r="D7" s="155"/>
      <c r="E7" s="155">
        <v>2</v>
      </c>
      <c r="F7" s="136">
        <v>264.97000000000003</v>
      </c>
      <c r="G7" s="136"/>
      <c r="H7" s="136"/>
      <c r="I7" s="136">
        <v>264.97000000000003</v>
      </c>
      <c r="J7" s="136">
        <v>254.69300000000001</v>
      </c>
      <c r="K7" s="136"/>
      <c r="L7" s="136"/>
      <c r="M7" s="136">
        <v>254.69300000000001</v>
      </c>
      <c r="N7" s="158"/>
      <c r="O7" s="8"/>
      <c r="P7" s="8"/>
      <c r="Q7" s="8"/>
      <c r="R7" s="8"/>
      <c r="S7" s="8"/>
    </row>
    <row r="8" spans="1:19" s="42" customFormat="1" ht="18.95" customHeight="1" x14ac:dyDescent="0.15">
      <c r="A8" s="29" t="s">
        <v>68</v>
      </c>
      <c r="B8" s="159"/>
      <c r="C8" s="155"/>
      <c r="D8" s="155"/>
      <c r="E8" s="155"/>
      <c r="F8" s="135"/>
      <c r="G8" s="135"/>
      <c r="H8" s="136"/>
      <c r="I8" s="136"/>
      <c r="J8" s="135"/>
      <c r="K8" s="135"/>
      <c r="L8" s="136"/>
      <c r="M8" s="136"/>
      <c r="N8" s="41"/>
      <c r="O8" s="41"/>
      <c r="P8" s="41"/>
      <c r="Q8" s="41"/>
      <c r="R8" s="41"/>
      <c r="S8" s="41"/>
    </row>
    <row r="9" spans="1:19" ht="18.95" customHeight="1" x14ac:dyDescent="0.15">
      <c r="A9" s="29" t="s">
        <v>69</v>
      </c>
      <c r="B9" s="155">
        <v>3</v>
      </c>
      <c r="C9" s="155"/>
      <c r="D9" s="155"/>
      <c r="E9" s="155">
        <v>3</v>
      </c>
      <c r="F9" s="136">
        <v>186</v>
      </c>
      <c r="G9" s="136"/>
      <c r="H9" s="136"/>
      <c r="I9" s="136">
        <v>186</v>
      </c>
      <c r="J9" s="136">
        <v>181.6</v>
      </c>
      <c r="K9" s="136"/>
      <c r="L9" s="136"/>
      <c r="M9" s="136">
        <v>181.6</v>
      </c>
      <c r="N9" s="8"/>
      <c r="O9" s="8"/>
      <c r="P9" s="8"/>
      <c r="Q9" s="8">
        <f>SUM(K5:K19)</f>
        <v>1621.6618000000001</v>
      </c>
      <c r="R9" s="8"/>
      <c r="S9" s="8"/>
    </row>
    <row r="10" spans="1:19" ht="18.95" customHeight="1" x14ac:dyDescent="0.15">
      <c r="A10" s="29" t="s">
        <v>70</v>
      </c>
      <c r="B10" s="156">
        <v>1</v>
      </c>
      <c r="C10" s="155">
        <v>1</v>
      </c>
      <c r="D10" s="155"/>
      <c r="E10" s="155"/>
      <c r="F10" s="135">
        <v>532.5</v>
      </c>
      <c r="G10" s="135">
        <v>532.5</v>
      </c>
      <c r="H10" s="136"/>
      <c r="I10" s="160"/>
      <c r="J10" s="135">
        <v>507.7</v>
      </c>
      <c r="K10" s="135">
        <v>507.7</v>
      </c>
      <c r="L10" s="136"/>
      <c r="M10" s="136"/>
      <c r="N10" s="8"/>
      <c r="O10" s="8"/>
      <c r="P10" s="8"/>
      <c r="Q10" s="8"/>
      <c r="R10" s="8"/>
      <c r="S10" s="8"/>
    </row>
    <row r="11" spans="1:19" ht="18.95" customHeight="1" x14ac:dyDescent="0.15">
      <c r="A11" s="29" t="s">
        <v>71</v>
      </c>
      <c r="B11" s="156"/>
      <c r="C11" s="155"/>
      <c r="D11" s="155"/>
      <c r="E11" s="155"/>
      <c r="F11" s="136"/>
      <c r="G11" s="135"/>
      <c r="H11" s="136"/>
      <c r="I11" s="136"/>
      <c r="J11" s="136"/>
      <c r="K11" s="135"/>
      <c r="L11" s="136"/>
      <c r="M11" s="136"/>
      <c r="N11" s="8"/>
      <c r="O11" s="8"/>
      <c r="P11" s="8"/>
      <c r="Q11" s="8"/>
      <c r="R11" s="8"/>
      <c r="S11" s="8"/>
    </row>
    <row r="12" spans="1:19" ht="18.95" customHeight="1" x14ac:dyDescent="0.15">
      <c r="A12" s="29" t="s">
        <v>72</v>
      </c>
      <c r="B12" s="156">
        <v>2</v>
      </c>
      <c r="C12" s="155"/>
      <c r="D12" s="155"/>
      <c r="E12" s="155">
        <v>2</v>
      </c>
      <c r="F12" s="157">
        <v>1853</v>
      </c>
      <c r="G12" s="136"/>
      <c r="H12" s="136"/>
      <c r="I12" s="135">
        <v>1853</v>
      </c>
      <c r="J12" s="136">
        <v>1797.3073999999999</v>
      </c>
      <c r="K12" s="135"/>
      <c r="L12" s="136"/>
      <c r="M12" s="135">
        <v>1797.3073999999999</v>
      </c>
      <c r="N12" s="8"/>
      <c r="O12" s="8"/>
      <c r="P12" s="8"/>
      <c r="Q12" s="8"/>
      <c r="R12" s="8"/>
      <c r="S12" s="8"/>
    </row>
    <row r="13" spans="1:19" ht="18.95" customHeight="1" x14ac:dyDescent="0.15">
      <c r="A13" s="29" t="s">
        <v>73</v>
      </c>
      <c r="B13" s="156"/>
      <c r="C13" s="155"/>
      <c r="D13" s="155"/>
      <c r="E13" s="155"/>
      <c r="F13" s="136"/>
      <c r="G13" s="135"/>
      <c r="H13" s="136"/>
      <c r="I13" s="136"/>
      <c r="J13" s="136"/>
      <c r="K13" s="136"/>
      <c r="L13" s="136"/>
      <c r="M13" s="136"/>
      <c r="N13" s="8"/>
      <c r="O13" s="8"/>
      <c r="P13" s="8"/>
      <c r="Q13" s="8"/>
      <c r="R13" s="8"/>
      <c r="S13" s="8"/>
    </row>
    <row r="14" spans="1:19" ht="18.95" customHeight="1" x14ac:dyDescent="0.15">
      <c r="A14" s="29" t="s">
        <v>74</v>
      </c>
      <c r="B14" s="155"/>
      <c r="C14" s="155"/>
      <c r="D14" s="155"/>
      <c r="E14" s="155"/>
      <c r="F14" s="135"/>
      <c r="G14" s="135"/>
      <c r="H14" s="136"/>
      <c r="I14" s="136"/>
      <c r="J14" s="136"/>
      <c r="K14" s="136"/>
      <c r="L14" s="136"/>
      <c r="M14" s="136"/>
      <c r="N14" s="8"/>
      <c r="O14" s="8"/>
      <c r="P14" s="8"/>
      <c r="Q14" s="8"/>
      <c r="R14" s="8"/>
      <c r="S14" s="8"/>
    </row>
    <row r="15" spans="1:19" ht="18.95" customHeight="1" x14ac:dyDescent="0.15">
      <c r="A15" s="29" t="s">
        <v>83</v>
      </c>
      <c r="B15" s="155">
        <v>3</v>
      </c>
      <c r="C15" s="155"/>
      <c r="D15" s="155"/>
      <c r="E15" s="155">
        <v>3</v>
      </c>
      <c r="F15" s="135">
        <v>375.6</v>
      </c>
      <c r="G15" s="135"/>
      <c r="H15" s="136"/>
      <c r="I15" s="136">
        <v>375.6</v>
      </c>
      <c r="J15" s="136">
        <v>367.64519999999999</v>
      </c>
      <c r="K15" s="136"/>
      <c r="L15" s="136"/>
      <c r="M15" s="136">
        <v>367.64519999999999</v>
      </c>
      <c r="N15" s="8"/>
      <c r="O15" s="8"/>
      <c r="P15" s="8"/>
      <c r="Q15" s="8"/>
      <c r="R15" s="8"/>
      <c r="S15" s="8"/>
    </row>
    <row r="16" spans="1:19" ht="18.95" customHeight="1" x14ac:dyDescent="0.15">
      <c r="A16" s="29" t="s">
        <v>84</v>
      </c>
      <c r="B16" s="155">
        <v>1</v>
      </c>
      <c r="C16" s="155">
        <v>1</v>
      </c>
      <c r="D16" s="155"/>
      <c r="E16" s="155"/>
      <c r="F16" s="135">
        <v>165.67</v>
      </c>
      <c r="G16" s="135">
        <v>165.67</v>
      </c>
      <c r="H16" s="136"/>
      <c r="I16" s="136"/>
      <c r="J16" s="136">
        <v>159.596</v>
      </c>
      <c r="K16" s="136">
        <v>159.596</v>
      </c>
      <c r="L16" s="136"/>
      <c r="M16" s="136"/>
      <c r="N16" s="8"/>
      <c r="O16" s="8"/>
      <c r="P16" s="8"/>
      <c r="Q16" s="8"/>
      <c r="R16" s="8"/>
      <c r="S16" s="8"/>
    </row>
    <row r="17" spans="1:20" ht="18.95" customHeight="1" x14ac:dyDescent="0.15">
      <c r="A17" s="89" t="s">
        <v>85</v>
      </c>
      <c r="B17" s="155">
        <v>3</v>
      </c>
      <c r="C17" s="155">
        <v>1</v>
      </c>
      <c r="D17" s="155"/>
      <c r="E17" s="155">
        <v>2</v>
      </c>
      <c r="F17" s="135">
        <f>SUM(G17:I17)</f>
        <v>308.55500000000001</v>
      </c>
      <c r="G17" s="135">
        <v>199.35499999999999</v>
      </c>
      <c r="H17" s="136"/>
      <c r="I17" s="136">
        <v>109.2</v>
      </c>
      <c r="J17" s="136">
        <f>SUM(K17:M17)</f>
        <v>287.1148</v>
      </c>
      <c r="K17" s="136">
        <v>195.91480000000001</v>
      </c>
      <c r="L17" s="136"/>
      <c r="M17" s="136">
        <v>91.2</v>
      </c>
      <c r="N17" s="8"/>
      <c r="O17" s="8"/>
      <c r="P17" s="8"/>
      <c r="Q17" s="8"/>
      <c r="R17" s="8"/>
      <c r="S17" s="8"/>
    </row>
    <row r="18" spans="1:20" ht="18.95" customHeight="1" x14ac:dyDescent="0.15">
      <c r="A18" s="89" t="s">
        <v>86</v>
      </c>
      <c r="B18" s="155">
        <v>3</v>
      </c>
      <c r="C18" s="155">
        <v>3</v>
      </c>
      <c r="D18" s="155"/>
      <c r="E18" s="155"/>
      <c r="F18" s="135">
        <v>697</v>
      </c>
      <c r="G18" s="135">
        <v>697</v>
      </c>
      <c r="H18" s="136"/>
      <c r="I18" s="136"/>
      <c r="J18" s="136">
        <v>620.71100000000001</v>
      </c>
      <c r="K18" s="136">
        <v>620.71100000000001</v>
      </c>
      <c r="L18" s="136"/>
      <c r="M18" s="136"/>
      <c r="N18" s="8"/>
      <c r="O18" s="8"/>
      <c r="P18" s="8"/>
      <c r="Q18" s="8"/>
      <c r="R18" s="8"/>
      <c r="S18" s="8"/>
    </row>
    <row r="19" spans="1:20" ht="18.95" customHeight="1" x14ac:dyDescent="0.15">
      <c r="A19" s="89" t="s">
        <v>87</v>
      </c>
      <c r="B19" s="155">
        <v>2</v>
      </c>
      <c r="C19" s="155"/>
      <c r="D19" s="155"/>
      <c r="E19" s="155">
        <v>2</v>
      </c>
      <c r="F19" s="135">
        <v>274.33999999999997</v>
      </c>
      <c r="G19" s="135"/>
      <c r="H19" s="136"/>
      <c r="I19" s="136">
        <v>274.33999999999997</v>
      </c>
      <c r="J19" s="136">
        <v>270.56099999999998</v>
      </c>
      <c r="K19" s="136"/>
      <c r="L19" s="136"/>
      <c r="M19" s="136">
        <v>270.56099999999998</v>
      </c>
      <c r="N19" s="8"/>
      <c r="O19" s="8"/>
      <c r="P19" s="8"/>
      <c r="Q19" s="8"/>
      <c r="R19" s="8"/>
      <c r="S19" s="8"/>
      <c r="T19" s="88"/>
    </row>
    <row r="20" spans="1:20" ht="18.95" customHeight="1" x14ac:dyDescent="0.15">
      <c r="A20" s="36" t="s">
        <v>42</v>
      </c>
      <c r="B20" s="161">
        <f t="shared" ref="B20:M20" si="0">SUM(B5:B19)</f>
        <v>23</v>
      </c>
      <c r="C20" s="155">
        <f t="shared" si="0"/>
        <v>8</v>
      </c>
      <c r="D20" s="155">
        <f t="shared" si="0"/>
        <v>0</v>
      </c>
      <c r="E20" s="155">
        <f t="shared" si="0"/>
        <v>15</v>
      </c>
      <c r="F20" s="136">
        <f t="shared" si="0"/>
        <v>4855.9349999999995</v>
      </c>
      <c r="G20" s="136">
        <f t="shared" si="0"/>
        <v>1732.8249999999998</v>
      </c>
      <c r="H20" s="136">
        <f t="shared" si="0"/>
        <v>0</v>
      </c>
      <c r="I20" s="136">
        <f t="shared" si="0"/>
        <v>3123.11</v>
      </c>
      <c r="J20" s="136">
        <f t="shared" si="0"/>
        <v>4641.4683999999997</v>
      </c>
      <c r="K20" s="136">
        <f t="shared" si="0"/>
        <v>1621.6618000000001</v>
      </c>
      <c r="L20" s="136">
        <f t="shared" si="0"/>
        <v>0</v>
      </c>
      <c r="M20" s="136">
        <f t="shared" si="0"/>
        <v>3019.8065999999999</v>
      </c>
      <c r="O20" s="8"/>
      <c r="P20" s="8"/>
      <c r="Q20" s="8"/>
      <c r="R20" s="8"/>
      <c r="S20" s="8"/>
    </row>
    <row r="22" spans="1:20" s="7" customFormat="1" x14ac:dyDescent="0.15">
      <c r="A22" s="181"/>
      <c r="B22" s="181"/>
      <c r="C22" s="181"/>
      <c r="D22" s="31"/>
      <c r="E22" s="31"/>
      <c r="J22" s="184" t="s">
        <v>100</v>
      </c>
      <c r="K22" s="185"/>
    </row>
  </sheetData>
  <mergeCells count="7">
    <mergeCell ref="A22:C22"/>
    <mergeCell ref="J22:K22"/>
    <mergeCell ref="A1:M1"/>
    <mergeCell ref="A3:A4"/>
    <mergeCell ref="F3:I3"/>
    <mergeCell ref="J3:M3"/>
    <mergeCell ref="B3:E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7" sqref="A7:A22"/>
    </sheetView>
  </sheetViews>
  <sheetFormatPr defaultRowHeight="14.25" x14ac:dyDescent="0.15"/>
  <cols>
    <col min="1" max="1" width="11.875" style="3" customWidth="1"/>
    <col min="2" max="2" width="12.625" style="13" customWidth="1"/>
    <col min="3" max="6" width="16.625" style="3" customWidth="1"/>
    <col min="7" max="7" width="15.375" style="3" customWidth="1"/>
    <col min="8" max="16384" width="9" style="3"/>
  </cols>
  <sheetData>
    <row r="1" spans="1:7" s="1" customFormat="1" ht="22.5" x14ac:dyDescent="0.25">
      <c r="A1" s="176" t="s">
        <v>98</v>
      </c>
      <c r="B1" s="177"/>
      <c r="C1" s="177"/>
      <c r="D1" s="177"/>
      <c r="E1" s="177"/>
      <c r="F1" s="177"/>
    </row>
    <row r="2" spans="1:7" x14ac:dyDescent="0.15">
      <c r="A2" s="2"/>
      <c r="B2" s="14"/>
      <c r="C2" s="2"/>
      <c r="D2" s="2"/>
      <c r="E2" s="2"/>
      <c r="F2" s="2"/>
    </row>
    <row r="3" spans="1:7" ht="19.5" thickBot="1" x14ac:dyDescent="0.3">
      <c r="A3" s="4" t="s">
        <v>58</v>
      </c>
      <c r="G3" s="3" t="s">
        <v>33</v>
      </c>
    </row>
    <row r="4" spans="1:7" ht="21" customHeight="1" x14ac:dyDescent="0.25">
      <c r="A4" s="206" t="s">
        <v>63</v>
      </c>
      <c r="B4" s="196" t="s">
        <v>60</v>
      </c>
      <c r="C4" s="196"/>
      <c r="D4" s="196"/>
      <c r="E4" s="208" t="s">
        <v>81</v>
      </c>
      <c r="F4" s="208"/>
      <c r="G4" s="209"/>
    </row>
    <row r="5" spans="1:7" ht="32.25" customHeight="1" x14ac:dyDescent="0.15">
      <c r="A5" s="207"/>
      <c r="B5" s="30" t="s">
        <v>39</v>
      </c>
      <c r="C5" s="5" t="s">
        <v>40</v>
      </c>
      <c r="D5" s="56" t="s">
        <v>41</v>
      </c>
      <c r="E5" s="30" t="s">
        <v>39</v>
      </c>
      <c r="F5" s="5" t="s">
        <v>40</v>
      </c>
      <c r="G5" s="6" t="s">
        <v>82</v>
      </c>
    </row>
    <row r="6" spans="1:7" x14ac:dyDescent="0.15">
      <c r="A6" s="85"/>
      <c r="B6" s="55">
        <v>1</v>
      </c>
      <c r="C6" s="15">
        <v>2</v>
      </c>
      <c r="D6" s="15">
        <v>3</v>
      </c>
      <c r="E6" s="55">
        <v>1</v>
      </c>
      <c r="F6" s="15">
        <v>4</v>
      </c>
      <c r="G6" s="16">
        <v>5</v>
      </c>
    </row>
    <row r="7" spans="1:7" ht="18" customHeight="1" x14ac:dyDescent="0.15">
      <c r="A7" s="63" t="s">
        <v>66</v>
      </c>
      <c r="B7" s="155">
        <v>3</v>
      </c>
      <c r="C7" s="98">
        <v>198.3</v>
      </c>
      <c r="D7" s="98">
        <v>194.54</v>
      </c>
      <c r="E7" s="155">
        <f>4+1+2+2+2+3+3</f>
        <v>17</v>
      </c>
      <c r="F7" s="98">
        <f>681.4+70+1768.41+200+3994+140+1685.57+198.3</f>
        <v>8737.6799999999985</v>
      </c>
      <c r="G7" s="100">
        <f>658.2+62+1205.83+125.33+3403.21+138.89+1590.7296+194.54</f>
        <v>7378.7295999999997</v>
      </c>
    </row>
    <row r="8" spans="1:7" ht="18" customHeight="1" x14ac:dyDescent="0.15">
      <c r="A8" s="63" t="s">
        <v>67</v>
      </c>
      <c r="B8" s="155">
        <v>2</v>
      </c>
      <c r="C8" s="98">
        <v>264.97000000000003</v>
      </c>
      <c r="D8" s="98">
        <v>254.69</v>
      </c>
      <c r="E8" s="155">
        <f>2+1+3+2+2</f>
        <v>10</v>
      </c>
      <c r="F8" s="98">
        <f>330+50+421.28+749+264.97</f>
        <v>1815.25</v>
      </c>
      <c r="G8" s="100">
        <f>327.86+49.98+417.96+690.93+254.69</f>
        <v>1741.42</v>
      </c>
    </row>
    <row r="9" spans="1:7" ht="18" customHeight="1" x14ac:dyDescent="0.15">
      <c r="A9" s="63" t="s">
        <v>69</v>
      </c>
      <c r="B9" s="155">
        <v>3</v>
      </c>
      <c r="C9" s="98">
        <v>186</v>
      </c>
      <c r="D9" s="98">
        <v>181.6</v>
      </c>
      <c r="E9" s="155">
        <f>4+2+5+2+3</f>
        <v>16</v>
      </c>
      <c r="F9" s="98">
        <f>7797.1+396+1214.4+94+1009.35+186</f>
        <v>10696.85</v>
      </c>
      <c r="G9" s="100">
        <f>7690.78+390.44+1163.23+93.51+985.686+181.6</f>
        <v>10505.245999999999</v>
      </c>
    </row>
    <row r="10" spans="1:7" ht="18" customHeight="1" x14ac:dyDescent="0.15">
      <c r="A10" s="63" t="s">
        <v>70</v>
      </c>
      <c r="B10" s="155">
        <v>1</v>
      </c>
      <c r="C10" s="98">
        <v>532.5</v>
      </c>
      <c r="D10" s="98">
        <v>507.7</v>
      </c>
      <c r="E10" s="155">
        <f>1+2+2+3+7+1</f>
        <v>16</v>
      </c>
      <c r="F10" s="98">
        <f>73+277+236.3+808.98+1303+532.5</f>
        <v>3230.7799999999997</v>
      </c>
      <c r="G10" s="100">
        <f>61.96+262.85+216.14+802.17+1193.0197+507.7</f>
        <v>3043.8396999999995</v>
      </c>
    </row>
    <row r="11" spans="1:7" ht="18" customHeight="1" x14ac:dyDescent="0.15">
      <c r="A11" s="63" t="s">
        <v>72</v>
      </c>
      <c r="B11" s="151">
        <v>2</v>
      </c>
      <c r="C11" s="98">
        <v>1853</v>
      </c>
      <c r="D11" s="98">
        <v>1797.31</v>
      </c>
      <c r="E11" s="151">
        <f>1+3+1+7+2</f>
        <v>14</v>
      </c>
      <c r="F11" s="98">
        <f>70+457+70+2421.2154+1853</f>
        <v>4871.2154</v>
      </c>
      <c r="G11" s="100">
        <f>40.4+439.38+57.89+2402.8394+1797.31</f>
        <v>4737.8194000000003</v>
      </c>
    </row>
    <row r="12" spans="1:7" ht="18" customHeight="1" x14ac:dyDescent="0.15">
      <c r="A12" s="63" t="s">
        <v>75</v>
      </c>
      <c r="B12" s="151">
        <v>3</v>
      </c>
      <c r="C12" s="98">
        <v>375.6</v>
      </c>
      <c r="D12" s="98">
        <v>367.65</v>
      </c>
      <c r="E12" s="151">
        <f>1+1+6+3</f>
        <v>11</v>
      </c>
      <c r="F12" s="98">
        <f>130+250+707.39+375.6</f>
        <v>1462.9899999999998</v>
      </c>
      <c r="G12" s="100">
        <f>129.62+246.54+689.8772+367.65</f>
        <v>1433.6871999999998</v>
      </c>
    </row>
    <row r="13" spans="1:7" ht="18" customHeight="1" x14ac:dyDescent="0.15">
      <c r="A13" s="63" t="s">
        <v>76</v>
      </c>
      <c r="B13" s="151">
        <v>3</v>
      </c>
      <c r="C13" s="98">
        <v>308.56</v>
      </c>
      <c r="D13" s="98">
        <v>287.11</v>
      </c>
      <c r="E13" s="151">
        <f>1+4+3</f>
        <v>8</v>
      </c>
      <c r="F13" s="98">
        <f>173.48+303.495+308.56</f>
        <v>785.53500000000008</v>
      </c>
      <c r="G13" s="100">
        <f>172.9+288.2565+287.11</f>
        <v>748.26650000000006</v>
      </c>
    </row>
    <row r="14" spans="1:7" ht="18" customHeight="1" x14ac:dyDescent="0.15">
      <c r="A14" s="63" t="s">
        <v>77</v>
      </c>
      <c r="B14" s="155">
        <v>2</v>
      </c>
      <c r="C14" s="98">
        <v>274.33999999999997</v>
      </c>
      <c r="D14" s="98">
        <v>270.56</v>
      </c>
      <c r="E14" s="155">
        <f>1+2+2</f>
        <v>5</v>
      </c>
      <c r="F14" s="98">
        <f>992.7+702+274.34</f>
        <v>1969.04</v>
      </c>
      <c r="G14" s="100">
        <f>991.8+691.9955+270.56</f>
        <v>1954.3554999999999</v>
      </c>
    </row>
    <row r="15" spans="1:7" ht="18" customHeight="1" x14ac:dyDescent="0.15">
      <c r="A15" s="63" t="s">
        <v>73</v>
      </c>
      <c r="B15" s="155"/>
      <c r="C15" s="98"/>
      <c r="D15" s="98"/>
      <c r="E15" s="155">
        <f>2+2+1+2</f>
        <v>7</v>
      </c>
      <c r="F15" s="98">
        <f>111+350+200+550</f>
        <v>1211</v>
      </c>
      <c r="G15" s="100">
        <f>107.3+345+194+550</f>
        <v>1196.3</v>
      </c>
    </row>
    <row r="16" spans="1:7" ht="18" customHeight="1" x14ac:dyDescent="0.15">
      <c r="A16" s="63" t="s">
        <v>65</v>
      </c>
      <c r="B16" s="155"/>
      <c r="C16" s="98"/>
      <c r="D16" s="98"/>
      <c r="E16" s="155">
        <f>1+4+1+1+1</f>
        <v>8</v>
      </c>
      <c r="F16" s="98">
        <f>75+404.3+221.5+100+30</f>
        <v>830.8</v>
      </c>
      <c r="G16" s="100">
        <f>70.5+383.21+221+99+20.5</f>
        <v>794.21</v>
      </c>
    </row>
    <row r="17" spans="1:7" ht="18" customHeight="1" x14ac:dyDescent="0.15">
      <c r="A17" s="63" t="s">
        <v>74</v>
      </c>
      <c r="B17" s="155"/>
      <c r="C17" s="98"/>
      <c r="D17" s="98"/>
      <c r="E17" s="155">
        <f>1+2+1+1</f>
        <v>5</v>
      </c>
      <c r="F17" s="98">
        <f>40+173+630+30</f>
        <v>873</v>
      </c>
      <c r="G17" s="100">
        <f>39.86+172+611.1+29.8</f>
        <v>852.76</v>
      </c>
    </row>
    <row r="18" spans="1:7" ht="18" customHeight="1" x14ac:dyDescent="0.15">
      <c r="A18" s="63" t="s">
        <v>71</v>
      </c>
      <c r="B18" s="155"/>
      <c r="C18" s="98"/>
      <c r="D18" s="98"/>
      <c r="E18" s="155">
        <f>1+2</f>
        <v>3</v>
      </c>
      <c r="F18" s="98">
        <f>120+326</f>
        <v>446</v>
      </c>
      <c r="G18" s="100">
        <f>112.85+312.86</f>
        <v>425.71000000000004</v>
      </c>
    </row>
    <row r="19" spans="1:7" ht="18" customHeight="1" x14ac:dyDescent="0.15">
      <c r="A19" s="63" t="s">
        <v>68</v>
      </c>
      <c r="B19" s="155"/>
      <c r="C19" s="98"/>
      <c r="D19" s="98"/>
      <c r="E19" s="155">
        <v>3</v>
      </c>
      <c r="F19" s="98">
        <v>175</v>
      </c>
      <c r="G19" s="100">
        <v>171.6</v>
      </c>
    </row>
    <row r="20" spans="1:7" ht="18" customHeight="1" x14ac:dyDescent="0.15">
      <c r="A20" s="86" t="s">
        <v>84</v>
      </c>
      <c r="B20" s="162">
        <v>1</v>
      </c>
      <c r="C20" s="163">
        <v>165.67</v>
      </c>
      <c r="D20" s="163">
        <v>159.6</v>
      </c>
      <c r="E20" s="162">
        <f>1+1+1</f>
        <v>3</v>
      </c>
      <c r="F20" s="163">
        <f>70+50+165.67</f>
        <v>285.66999999999996</v>
      </c>
      <c r="G20" s="164">
        <f>69.1588+32.05+159.6</f>
        <v>260.80880000000002</v>
      </c>
    </row>
    <row r="21" spans="1:7" ht="18" customHeight="1" x14ac:dyDescent="0.15">
      <c r="A21" s="90" t="s">
        <v>86</v>
      </c>
      <c r="B21" s="162">
        <v>3</v>
      </c>
      <c r="C21" s="163">
        <v>697</v>
      </c>
      <c r="D21" s="163">
        <v>620.71</v>
      </c>
      <c r="E21" s="162">
        <f>1+3+3</f>
        <v>7</v>
      </c>
      <c r="F21" s="163">
        <f>86.4+573+697</f>
        <v>1356.4</v>
      </c>
      <c r="G21" s="164">
        <f>85.63+561.6476+620.71</f>
        <v>1267.9875999999999</v>
      </c>
    </row>
    <row r="22" spans="1:7" ht="18" customHeight="1" thickBot="1" x14ac:dyDescent="0.3">
      <c r="A22" s="64" t="s">
        <v>78</v>
      </c>
      <c r="B22" s="165">
        <f t="shared" ref="B22:G22" si="0">SUM(B7:B21)</f>
        <v>23</v>
      </c>
      <c r="C22" s="166">
        <f t="shared" si="0"/>
        <v>4855.9399999999996</v>
      </c>
      <c r="D22" s="166">
        <f t="shared" si="0"/>
        <v>4641.47</v>
      </c>
      <c r="E22" s="165">
        <f t="shared" si="0"/>
        <v>133</v>
      </c>
      <c r="F22" s="166">
        <f t="shared" si="0"/>
        <v>38747.210399999996</v>
      </c>
      <c r="G22" s="167">
        <f t="shared" si="0"/>
        <v>36512.740300000005</v>
      </c>
    </row>
    <row r="24" spans="1:7" s="7" customFormat="1" x14ac:dyDescent="0.15">
      <c r="A24" s="181"/>
      <c r="B24" s="181"/>
      <c r="E24" s="184" t="s">
        <v>100</v>
      </c>
      <c r="F24" s="185"/>
    </row>
    <row r="26" spans="1:7" ht="18.75" x14ac:dyDescent="0.25">
      <c r="A26" s="173"/>
      <c r="B26" s="194"/>
      <c r="C26" s="194"/>
    </row>
  </sheetData>
  <mergeCells count="7">
    <mergeCell ref="A24:B24"/>
    <mergeCell ref="E24:F24"/>
    <mergeCell ref="A26:C26"/>
    <mergeCell ref="A1:F1"/>
    <mergeCell ref="A4:A5"/>
    <mergeCell ref="B4:D4"/>
    <mergeCell ref="E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快报</vt:lpstr>
      <vt:lpstr>5日报表</vt:lpstr>
      <vt:lpstr>街镇明细</vt:lpstr>
      <vt:lpstr>街镇</vt:lpstr>
      <vt:lpstr>电子集市</vt:lpstr>
      <vt:lpstr>代理机构明细</vt:lpstr>
      <vt:lpstr>代理机构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2013-05-02T02:33:00Z</cp:lastPrinted>
  <dcterms:created xsi:type="dcterms:W3CDTF">1996-12-17T01:32:42Z</dcterms:created>
  <dcterms:modified xsi:type="dcterms:W3CDTF">2018-12-05T06:55:59Z</dcterms:modified>
</cp:coreProperties>
</file>